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okJ1z+BmmJ8e5c8I2WjKjwid2mUY8VtUdPE09ufkBR12uGa+TC2YA1OtplNOqil9pugScmAIo7knJIUygqE19w==" workbookSaltValue="Fy1ZZ6oYSvgIbz852qgCXw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U78" i="83"/>
  <c r="AA78" i="83" s="1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S72" i="83"/>
  <c r="U79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78" i="83" l="1"/>
  <c r="AK78" i="83" s="1"/>
  <c r="Z78" i="83"/>
  <c r="Y78" i="83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P132" i="83" s="1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I334" i="83" l="1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P278" i="83" l="1"/>
  <c r="AA478" i="83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<sst xmlns="http://schemas.openxmlformats.org/spreadsheetml/2006/main" count="65884" uniqueCount="755">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</sst>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36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0.69490827378414888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0.30509172621585101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7.5999999999999984E-2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1.4999999999999996E-2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4152.0300000000007</v>
      </c>
    </row>
    <row r="4" spans="1:29" x14ac:dyDescent="0.25">
      <c r="A4" s="2">
        <f>Results!$D$3</f>
        <v>36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0.63619490860573802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5.3522792535368915E-2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9.0614824789160608E-2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4.3763932114238456E-3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9.2947384903812824E-2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8.2761829211651289E-2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2.716512093298637E-2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5.1436433753793153E-4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6.0165914230059479E-3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5.8857900493139333E-3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7.041453670467715E-2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7.0488062525665585E-2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6.9488062525665584E-2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6.7488062525665568E-2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1.2238851389542324E-2</v>
      </c>
      <c r="AB4" s="2">
        <f>SUMIFS(PERSALDATA!$G$2:$G$20871,PERSALDATA!$A$2:$A$20871,WORKING!A4,PERSALDATA!$D$2:$D$20871,WORKING!B4,PERSALDATA!$E$2:$E$20871,WORKING!C4,PERSALDATA!$F$2:$F$20871,"S&amp;W: BASIC SALARY (RES)")</f>
        <v>74</v>
      </c>
      <c r="AC4" s="2">
        <f>SUMIFS(PERSALDATA!$H$2:$H$20871,PERSALDATA!$A$2:$A$20871,WORKING!A4,PERSALDATA!$D$2:$D$20871,WORKING!B4,PERSALDATA!$E$2:$E$20871,WORKING!C4)</f>
        <v>10302949.900000002</v>
      </c>
    </row>
    <row r="5" spans="1:29" x14ac:dyDescent="0.25">
      <c r="A5" s="2">
        <f>Results!$D$3</f>
        <v>36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0.72097548399506817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4.7255606211193214E-2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6.1018920549233163E-2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3.4915654530548062E-3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7.1978864798731418E-2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6.6857477466057358E-2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1.9542166941567435E-2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3.7471822531183328E-4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2.0042397983792066E-5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3.5883568594175538E-4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8.1263182758571032E-3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7.2370266145440523E-2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7.0469493766488644E-2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6.9469493766488657E-2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6.7469493766488642E-2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1.2999412446400856E-2</v>
      </c>
      <c r="AB5" s="2">
        <f>SUMIFS(PERSALDATA!$G$2:$G$20871,PERSALDATA!$A$2:$A$20871,WORKING!A5,PERSALDATA!$D$2:$D$20871,WORKING!B5,PERSALDATA!$E$2:$E$20871,WORKING!C5,PERSALDATA!$F$2:$F$20871,"S&amp;W: BASIC SALARY (RES)")</f>
        <v>87</v>
      </c>
      <c r="AC5" s="2">
        <f>SUMIFS(PERSALDATA!$H$2:$H$20871,PERSALDATA!$A$2:$A$20871,WORKING!A5,PERSALDATA!$D$2:$D$20871,WORKING!B5,PERSALDATA!$E$2:$E$20871,WORKING!C5)</f>
        <v>13053328.26</v>
      </c>
    </row>
    <row r="6" spans="1:29" x14ac:dyDescent="0.25">
      <c r="A6" s="2">
        <f>Results!$D$3</f>
        <v>36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0.57459649459392181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4.7436671974524454E-2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5.9288700733244208E-2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0.14345883872927442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7.0073671850758162E-2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7.2727870864697744E-2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8.5402368362502475E-3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3.425009878066064E-4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6.3001770674644495E-3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1.7234836362057956E-2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7.2475090150184066E-2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7.045821807042893E-2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6.9458218070428943E-2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6.7458218070428927E-2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1.3054426896422864E-2</v>
      </c>
      <c r="AB6" s="2">
        <f>SUMIFS(PERSALDATA!$G$2:$G$20871,PERSALDATA!$A$2:$A$20871,WORKING!A6,PERSALDATA!$D$2:$D$20871,WORKING!B6,PERSALDATA!$E$2:$E$20871,WORKING!C6,PERSALDATA!$F$2:$F$20871,"S&amp;W: BASIC SALARY (RES)")</f>
        <v>56</v>
      </c>
      <c r="AC6" s="2">
        <f>SUMIFS(PERSALDATA!$H$2:$H$20871,PERSALDATA!$A$2:$A$20871,WORKING!A6,PERSALDATA!$D$2:$D$20871,WORKING!B6,PERSALDATA!$E$2:$E$20871,WORKING!C6)</f>
        <v>11081369.5</v>
      </c>
    </row>
    <row r="7" spans="1:29" x14ac:dyDescent="0.25">
      <c r="A7" s="2">
        <f>Results!$D$3</f>
        <v>36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0.77290440965030727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3.5945326156244614E-2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4.2572833693997815E-2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7.1840858009110361E-3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3.7738300369033959E-2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5.9900460863459536E-2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8.178951874051937E-3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2.903954361290994E-4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2.0699424824227966E-4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2.6282157353803931E-2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7.387105610468488E-3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1.4089789433501328E-3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7.3292800844422634E-2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7.014034616859556E-2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6.9140346168595546E-2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6.714034616859553E-2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1.379097705751259E-2</v>
      </c>
      <c r="AB7" s="2">
        <f>SUMIFS(PERSALDATA!$G$2:$G$20871,PERSALDATA!$A$2:$A$20871,WORKING!A7,PERSALDATA!$D$2:$D$20871,WORKING!B7,PERSALDATA!$E$2:$E$20871,WORKING!C7,PERSALDATA!$F$2:$F$20871,"S&amp;W: BASIC SALARY (RES)")</f>
        <v>170</v>
      </c>
      <c r="AC7" s="2">
        <f>SUMIFS(PERSALDATA!$H$2:$H$20871,PERSALDATA!$A$2:$A$20871,WORKING!A7,PERSALDATA!$D$2:$D$20871,WORKING!B7,PERSALDATA!$E$2:$E$20871,WORKING!C7)</f>
        <v>30794285.609999999</v>
      </c>
    </row>
    <row r="8" spans="1:29" x14ac:dyDescent="0.25">
      <c r="A8" s="2">
        <f>Results!$D$3</f>
        <v>36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0.70072397173594336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4.449377657607817E-2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3.8406813579971638E-2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1.4284986723997471E-2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4.9076047316115826E-2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6.8825664971899847E-2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1.0657016785645786E-2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2.892323301446371E-4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2.7890634729517043E-3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6.3450409705824232E-2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6.0199213075215674E-3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9.8309549390591597E-4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7.3768146830347797E-2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7.0352072573942021E-2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6.9352072573942047E-2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6.7352072573942032E-2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1.3683418601606521E-2</v>
      </c>
      <c r="AB8" s="2">
        <f>SUMIFS(PERSALDATA!$G$2:$G$20871,PERSALDATA!$A$2:$A$20871,WORKING!A8,PERSALDATA!$D$2:$D$20871,WORKING!B8,PERSALDATA!$E$2:$E$20871,WORKING!C8,PERSALDATA!$F$2:$F$20871,"S&amp;W: BASIC SALARY (RES)")</f>
        <v>354</v>
      </c>
      <c r="AC8" s="2">
        <f>SUMIFS(PERSALDATA!$H$2:$H$20871,PERSALDATA!$A$2:$A$20871,WORKING!A8,PERSALDATA!$D$2:$D$20871,WORKING!B8,PERSALDATA!$E$2:$E$20871,WORKING!C8)</f>
        <v>88788933.059999987</v>
      </c>
    </row>
    <row r="9" spans="1:29" x14ac:dyDescent="0.25">
      <c r="A9" s="2">
        <f>Results!$D$3</f>
        <v>36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0.71514364555951337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4.2469694392130032E-2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3.0536904198348615E-2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6.930170984141849E-3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3.9656702574105876E-2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6.6150018979725861E-2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1.1351533754517031E-2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2.4339580961096186E-4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2.0581362648620107E-3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7.584035886127026E-2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7.336254465346222E-3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9.5894297611509127E-5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2.1872898588163959E-3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7.4234389116962979E-2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7.0289481496628115E-2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6.92894814966281E-2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6.7289481496628098E-2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1.3943444961269019E-2</v>
      </c>
      <c r="AB9" s="2">
        <f>SUMIFS(PERSALDATA!$G$2:$G$20871,PERSALDATA!$A$2:$A$20871,WORKING!A9,PERSALDATA!$D$2:$D$20871,WORKING!B9,PERSALDATA!$E$2:$E$20871,WORKING!C9,PERSALDATA!$F$2:$F$20871,"S&amp;W: BASIC SALARY (RES)")</f>
        <v>277</v>
      </c>
      <c r="AC9" s="2">
        <f>SUMIFS(PERSALDATA!$H$2:$H$20871,PERSALDATA!$A$2:$A$20871,WORKING!A9,PERSALDATA!$D$2:$D$20871,WORKING!B9,PERSALDATA!$E$2:$E$20871,WORKING!C9)</f>
        <v>84576353.359999999</v>
      </c>
    </row>
    <row r="10" spans="1:29" x14ac:dyDescent="0.25">
      <c r="A10" s="2">
        <f>Results!$D$3</f>
        <v>36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0.71418757805089372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5.7049190387485987E-2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3.0997129494445819E-2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1.1349555557758111E-2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3.9863067480192887E-2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8.7447073734544467E-2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1.8273383174589843E-2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1.9367613668398194E-4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7.90079442523209E-3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1.595988205675845E-2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1.5789362560005855E-2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1.6144524687211547E-4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8.2786169453690558E-4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7.4202301103144824E-2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7.028797471725845E-2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6.9287974717258463E-2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6.7287974717258461E-2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1.3934191903330163E-2</v>
      </c>
      <c r="AB10" s="2">
        <f>SUMIFS(PERSALDATA!$G$2:$G$20871,PERSALDATA!$A$2:$A$20871,WORKING!A10,PERSALDATA!$D$2:$D$20871,WORKING!B10,PERSALDATA!$E$2:$E$20871,WORKING!C10,PERSALDATA!$F$2:$F$20871,"S&amp;W: BASIC SALARY (RES)")</f>
        <v>196</v>
      </c>
      <c r="AC10" s="2">
        <f>SUMIFS(PERSALDATA!$H$2:$H$20871,PERSALDATA!$A$2:$A$20871,WORKING!A10,PERSALDATA!$D$2:$D$20871,WORKING!B10,PERSALDATA!$E$2:$E$20871,WORKING!C10)</f>
        <v>75103728.569999993</v>
      </c>
    </row>
    <row r="11" spans="1:29" x14ac:dyDescent="0.25">
      <c r="A11" s="2">
        <f>Results!$D$3</f>
        <v>36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0.72922317476948906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4.8800785934480485E-2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2.1120675619815968E-2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1.6343168659392025E-3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2.8562077295839008E-2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7.1864389911038551E-2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1.0622981549860855E-2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1.6883852699959241E-4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5.5188145212862298E-3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6.4989550499283968E-2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1.7160973869649331E-2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3.3342063631762263E-4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7.479469773503572E-2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7.021722440323945E-2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6.9217224403239408E-2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6.7217224403239434E-2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1.4252226128360182E-2</v>
      </c>
      <c r="AB11" s="2">
        <f>SUMIFS(PERSALDATA!$G$2:$G$20871,PERSALDATA!$A$2:$A$20871,WORKING!A11,PERSALDATA!$D$2:$D$20871,WORKING!B11,PERSALDATA!$E$2:$E$20871,WORKING!C11,PERSALDATA!$F$2:$F$20871,"S&amp;W: BASIC SALARY (RES)")</f>
        <v>109</v>
      </c>
      <c r="AC11" s="2">
        <f>SUMIFS(PERSALDATA!$H$2:$H$20871,PERSALDATA!$A$2:$A$20871,WORKING!A11,PERSALDATA!$D$2:$D$20871,WORKING!B11,PERSALDATA!$E$2:$E$20871,WORKING!C11)</f>
        <v>53279545.610000007</v>
      </c>
    </row>
    <row r="12" spans="1:29" x14ac:dyDescent="0.25">
      <c r="A12" s="2">
        <f>Results!$D$3</f>
        <v>36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0.73936590589787388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6.3256700397491566E-2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2.2387576357521827E-2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3.3688681036423761E-3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3.2048098512294822E-2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9.4104555031386178E-2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1.9723954540185176E-2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1.3239715662062061E-4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1.0430085539567072E-2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6.7603142546177478E-3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7.9389932291714857E-3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3.6139349211174767E-4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1.2115748751539645E-4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7.474721757600046E-2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7.0256845714109215E-2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6.92568457141092E-2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6.7256845714109198E-2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1.4181478919603439E-2</v>
      </c>
      <c r="AB12" s="2">
        <f>SUMIFS(PERSALDATA!$G$2:$G$20871,PERSALDATA!$A$2:$A$20871,WORKING!A12,PERSALDATA!$D$2:$D$20871,WORKING!B12,PERSALDATA!$E$2:$E$20871,WORKING!C12,PERSALDATA!$F$2:$F$20871,"S&amp;W: BASIC SALARY (RES)")</f>
        <v>152</v>
      </c>
      <c r="AC12" s="2">
        <f>SUMIFS(PERSALDATA!$H$2:$H$20871,PERSALDATA!$A$2:$A$20871,WORKING!A12,PERSALDATA!$D$2:$D$20871,WORKING!B12,PERSALDATA!$E$2:$E$20871,WORKING!C12)</f>
        <v>69091891.650000006</v>
      </c>
    </row>
    <row r="13" spans="1:29" x14ac:dyDescent="0.25">
      <c r="A13" s="2">
        <f>Results!$D$3</f>
        <v>36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0.71231305910671028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5.7076131640530083E-2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1.0469491806680161E-2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1.4993778897231E-3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1.9743260367764172E-2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9.0955707119460341E-2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1.4823159204649319E-2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1.1371691513339187E-4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4.6244095301371784E-3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8.1627695714545964E-2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6.7539907046660561E-3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1.4545102963656333E-2</v>
      </c>
      <c r="AB13" s="2">
        <f>SUMIFS(PERSALDATA!$G$2:$G$20871,PERSALDATA!$A$2:$A$20871,WORKING!A13,PERSALDATA!$D$2:$D$20871,WORKING!B13,PERSALDATA!$E$2:$E$20871,WORKING!C13,PERSALDATA!$F$2:$F$20871,"S&amp;W: BASIC SALARY (RES)")</f>
        <v>56</v>
      </c>
      <c r="AC13" s="2">
        <f>SUMIFS(PERSALDATA!$H$2:$H$20871,PERSALDATA!$A$2:$A$20871,WORKING!A13,PERSALDATA!$D$2:$D$20871,WORKING!B13,PERSALDATA!$E$2:$E$20871,WORKING!C13)</f>
        <v>40501010.729999974</v>
      </c>
    </row>
    <row r="14" spans="1:29" x14ac:dyDescent="0.25">
      <c r="A14" s="2">
        <f>Results!$D$3</f>
        <v>36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0.70670951791887737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4.7451294341354464E-2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9.9375940362747394E-3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1.3709708749114909E-3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1.771040337244029E-2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8.8183122602751948E-2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1.9581443540825694E-2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9.1847938946981083E-5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1.7708627452783412E-3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8.3044724187121693E-2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2.3387712420855699E-2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7.6050602036100117E-4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1.4583902319785066E-2</v>
      </c>
      <c r="AB14" s="2">
        <f>SUMIFS(PERSALDATA!$G$2:$G$20871,PERSALDATA!$A$2:$A$20871,WORKING!A14,PERSALDATA!$D$2:$D$20871,WORKING!B14,PERSALDATA!$E$2:$E$20871,WORKING!C14,PERSALDATA!$F$2:$F$20871,"S&amp;W: BASIC SALARY (RES)")</f>
        <v>100</v>
      </c>
      <c r="AC14" s="2">
        <f>SUMIFS(PERSALDATA!$H$2:$H$20871,PERSALDATA!$A$2:$A$20871,WORKING!A14,PERSALDATA!$D$2:$D$20871,WORKING!B14,PERSALDATA!$E$2:$E$20871,WORKING!C14)</f>
        <v>70076368.329999998</v>
      </c>
    </row>
    <row r="15" spans="1:29" x14ac:dyDescent="0.25">
      <c r="A15" s="2">
        <f>Results!$D$3</f>
        <v>36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0.64797700831387361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5.7006231374815426E-2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2.4009974716789447E-2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1.0890113779791677E-2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8.4242863136904253E-2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1.1790367560985998E-3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7.5432030258985779E-5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0.16216318203475588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1.2252391671360413E-2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2.037661853517654E-4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1.4475367192097398E-2</v>
      </c>
      <c r="AB15" s="2">
        <f>SUMIFS(PERSALDATA!$G$2:$G$20871,PERSALDATA!$A$2:$A$20871,WORKING!A15,PERSALDATA!$D$2:$D$20871,WORKING!B15,PERSALDATA!$E$2:$E$20871,WORKING!C15,PERSALDATA!$F$2:$F$20871,"S&amp;W: BASIC SALARY (RES)")</f>
        <v>49</v>
      </c>
      <c r="AC15" s="2">
        <f>SUMIFS(PERSALDATA!$H$2:$H$20871,PERSALDATA!$A$2:$A$20871,WORKING!A15,PERSALDATA!$D$2:$D$20871,WORKING!B15,PERSALDATA!$E$2:$E$20871,WORKING!C15)</f>
        <v>43589175.430000007</v>
      </c>
    </row>
    <row r="16" spans="1:29" x14ac:dyDescent="0.25">
      <c r="A16" s="2">
        <f>Results!$D$3</f>
        <v>36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0.6519432758627155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4.1298232853089714E-2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1.6412048421154006E-2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1.366182506176482E-2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8.4769293823341307E-2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6.1672720888973138E-5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0.18498381018373097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2.6982096913823299E-3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3.49807595534001E-3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6.7355542659225452E-4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1.4547966806942881E-2</v>
      </c>
      <c r="AB16" s="2">
        <f>SUMIFS(PERSALDATA!$G$2:$G$20871,PERSALDATA!$A$2:$A$20871,WORKING!A16,PERSALDATA!$D$2:$D$20871,WORKING!B16,PERSALDATA!$E$2:$E$20871,WORKING!C16,PERSALDATA!$F$2:$F$20871,"S&amp;W: BASIC SALARY (RES)")</f>
        <v>23</v>
      </c>
      <c r="AC16" s="2">
        <f>SUMIFS(PERSALDATA!$H$2:$H$20871,PERSALDATA!$A$2:$A$20871,WORKING!A16,PERSALDATA!$D$2:$D$20871,WORKING!B16,PERSALDATA!$E$2:$E$20871,WORKING!C16)</f>
        <v>26374221.479999997</v>
      </c>
    </row>
    <row r="17" spans="1:29" x14ac:dyDescent="0.25">
      <c r="A17" s="2">
        <f>Results!$D$3</f>
        <v>36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0.6309660543820409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6.0311167541219748E-2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2.865503920887149E-2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7.4004121112538372E-3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8.2025468019557443E-2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5.0639733049116743E-5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0.17520831858445945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1.5382900419547861E-2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1.4458408634202379E-2</v>
      </c>
      <c r="AB17" s="2">
        <f>SUMIFS(PERSALDATA!$G$2:$G$20871,PERSALDATA!$A$2:$A$20871,WORKING!A17,PERSALDATA!$D$2:$D$20871,WORKING!B17,PERSALDATA!$E$2:$E$20871,WORKING!C17,PERSALDATA!$F$2:$F$20871,"S&amp;W: BASIC SALARY (RES)")</f>
        <v>6</v>
      </c>
      <c r="AC17" s="2">
        <f>SUMIFS(PERSALDATA!$H$2:$H$20871,PERSALDATA!$A$2:$A$20871,WORKING!A17,PERSALDATA!$D$2:$D$20871,WORKING!B17,PERSALDATA!$E$2:$E$20871,WORKING!C17)</f>
        <v>6215870.0500000007</v>
      </c>
    </row>
    <row r="18" spans="1:29" x14ac:dyDescent="0.25">
      <c r="A18" s="2">
        <f>Results!$D$3</f>
        <v>36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0.53603897480480067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1.760996184351548E-2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4.3427946217411938E-3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6.6767731567518506E-3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7.5782126572503591E-2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2.4303808634270371E-5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0.35952506519205291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1.483434192619309E-2</v>
      </c>
      <c r="AB18" s="2">
        <f>SUMIFS(PERSALDATA!$G$2:$G$20871,PERSALDATA!$A$2:$A$20871,WORKING!A18,PERSALDATA!$D$2:$D$20871,WORKING!B18,PERSALDATA!$E$2:$E$20871,WORKING!C18,PERSALDATA!$F$2:$F$20871,"S&amp;W: BASIC SALARY (RES)")</f>
        <v>5</v>
      </c>
      <c r="AC18" s="2">
        <f>SUMIFS(PERSALDATA!$H$2:$H$20871,PERSALDATA!$A$2:$A$20871,WORKING!A18,PERSALDATA!$D$2:$D$20871,WORKING!B18,PERSALDATA!$E$2:$E$20871,WORKING!C18)</f>
        <v>11514244.710000001</v>
      </c>
    </row>
    <row r="19" spans="1:29" x14ac:dyDescent="0.25">
      <c r="A19" s="2">
        <f>Results!$D$3</f>
        <v>36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36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36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0.64736770186039483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5.3726362300132668E-2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9.9356863975434487E-2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4.7344748327899453E-3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9.9380184468414443E-2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8.467120560295617E-2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4.7585647093068943E-3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5.2675481525200939E-4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0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0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5.4778874353184929E-3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6.9840200920424783E-2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7.0497134127271863E-2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6.9497134127271876E-2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6.7497134127271874E-2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1.2011042951113484E-2</v>
      </c>
      <c r="AB21" s="2">
        <f>SUMIFS(PERSALDATA!$G$2:$G$20871,PERSALDATA!$A$2:$A$20871,WORKING!A21,PERSALDATA!$D$2:$D$20871,WORKING!B21,PERSALDATA!$E$2:$E$20871,WORKING!C21,PERSALDATA!$F$2:$F$20871,"S&amp;W: BASIC SALARY (RES)")</f>
        <v>58</v>
      </c>
      <c r="AC21" s="2">
        <f>SUMIFS(PERSALDATA!$H$2:$H$20871,PERSALDATA!$A$2:$A$20871,WORKING!A21,PERSALDATA!$D$2:$D$20871,WORKING!B21,PERSALDATA!$E$2:$E$20871,WORKING!C21)</f>
        <v>6485711.9500000002</v>
      </c>
    </row>
    <row r="22" spans="1:29" x14ac:dyDescent="0.25">
      <c r="A22" s="2">
        <f>Results!$D$3</f>
        <v>36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0.65425888955586586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5.8187435029416028E-2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8.5294268051825842E-2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7.2415975817232865E-3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9.5628552824858798E-2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8.5125118739675362E-2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6.8103682875292485E-3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4.5071125681948702E-4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1.6227909457588304E-3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5.380267726526969E-3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7.0856435367609244E-2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7.0581485611854608E-2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6.9581485611854607E-2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6.7581485611854619E-2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1.2279397017997433E-2</v>
      </c>
      <c r="AB22" s="2">
        <f>SUMIFS(PERSALDATA!$G$2:$G$20871,PERSALDATA!$A$2:$A$20871,WORKING!A22,PERSALDATA!$D$2:$D$20871,WORKING!B22,PERSALDATA!$E$2:$E$20871,WORKING!C22,PERSALDATA!$F$2:$F$20871,"S&amp;W: BASIC SALARY (RES)")</f>
        <v>144</v>
      </c>
      <c r="AC22" s="2">
        <f>SUMIFS(PERSALDATA!$H$2:$H$20871,PERSALDATA!$A$2:$A$20871,WORKING!A22,PERSALDATA!$D$2:$D$20871,WORKING!B22,PERSALDATA!$E$2:$E$20871,WORKING!C22)</f>
        <v>19260379.830000002</v>
      </c>
    </row>
    <row r="23" spans="1:29" x14ac:dyDescent="0.25">
      <c r="A23" s="2">
        <f>Results!$D$3</f>
        <v>36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0.65742644093665858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6.3899749053630411E-2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7.1566630011584476E-2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4.2708968265440473E-3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8.843106781838099E-2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8.5464449702271433E-2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1.6719980380613949E-2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3.7572407354410041E-4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5.3254513052244925E-3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6.5196098915476361E-3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7.1798971068576925E-2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7.0610799717159875E-2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6.9610799717159888E-2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6.7610799717159886E-2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1.2594398671447356E-2</v>
      </c>
      <c r="AB23" s="2">
        <f>SUMIFS(PERSALDATA!$G$2:$G$20871,PERSALDATA!$A$2:$A$20871,WORKING!A23,PERSALDATA!$D$2:$D$20871,WORKING!B23,PERSALDATA!$E$2:$E$20871,WORKING!C23,PERSALDATA!$F$2:$F$20871,"S&amp;W: BASIC SALARY (RES)")</f>
        <v>42</v>
      </c>
      <c r="AC23" s="2">
        <f>SUMIFS(PERSALDATA!$H$2:$H$20871,PERSALDATA!$A$2:$A$20871,WORKING!A23,PERSALDATA!$D$2:$D$20871,WORKING!B23,PERSALDATA!$E$2:$E$20871,WORKING!C23)</f>
        <v>6811833.9499999993</v>
      </c>
    </row>
    <row r="24" spans="1:29" x14ac:dyDescent="0.25">
      <c r="A24" s="2">
        <f>Results!$D$3</f>
        <v>36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0.67792328800104584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5.7883719319347465E-2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6.08056007887217E-2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2.2588620012351508E-3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7.8422909077707992E-2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8.7755013039451976E-2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1.6097348089308367E-2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3.1751967749729654E-4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9.974669905702423E-3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4.9890857565965232E-3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3.5719843433850832E-3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7.2476695067145047E-2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7.0568287628278409E-2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6.9568287628278408E-2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6.7568287628278392E-2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1.2906809556841091E-2</v>
      </c>
      <c r="AB24" s="2">
        <f>SUMIFS(PERSALDATA!$G$2:$G$20871,PERSALDATA!$A$2:$A$20871,WORKING!A24,PERSALDATA!$D$2:$D$20871,WORKING!B24,PERSALDATA!$E$2:$E$20871,WORKING!C24,PERSALDATA!$F$2:$F$20871,"S&amp;W: BASIC SALARY (RES)")</f>
        <v>94</v>
      </c>
      <c r="AC24" s="2">
        <f>SUMIFS(PERSALDATA!$H$2:$H$20871,PERSALDATA!$A$2:$A$20871,WORKING!A24,PERSALDATA!$D$2:$D$20871,WORKING!B24,PERSALDATA!$E$2:$E$20871,WORKING!C24)</f>
        <v>17406291.300000004</v>
      </c>
    </row>
    <row r="25" spans="1:29" x14ac:dyDescent="0.25">
      <c r="A25" s="2">
        <f>Results!$D$3</f>
        <v>36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0.69587468301169098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6.2872073583398275E-2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5.1085241570764849E-2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3.2554212703446387E-3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6.3929945888845818E-2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9.0450504097032036E-2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1.6533104071149381E-2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2.7993177631032378E-4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1.2413044989306199E-2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6.0382901703286608E-5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3.2456668394541524E-3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7.3012540883065691E-2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7.0448096772625049E-2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6.9448096772625034E-2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6.7448096772625019E-2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1.3270573211461184E-2</v>
      </c>
      <c r="AB25" s="2">
        <f>SUMIFS(PERSALDATA!$G$2:$G$20871,PERSALDATA!$A$2:$A$20871,WORKING!A25,PERSALDATA!$D$2:$D$20871,WORKING!B25,PERSALDATA!$E$2:$E$20871,WORKING!C25,PERSALDATA!$F$2:$F$20871,"S&amp;W: BASIC SALARY (RES)")</f>
        <v>65</v>
      </c>
      <c r="AC25" s="2">
        <f>SUMIFS(PERSALDATA!$H$2:$H$20871,PERSALDATA!$A$2:$A$20871,WORKING!A25,PERSALDATA!$D$2:$D$20871,WORKING!B25,PERSALDATA!$E$2:$E$20871,WORKING!C25)</f>
        <v>13683012.520000001</v>
      </c>
    </row>
    <row r="26" spans="1:29" x14ac:dyDescent="0.25">
      <c r="A26" s="2">
        <f>Results!$D$3</f>
        <v>36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0.71912267079995307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5.5218276238457729E-2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3.7249743434258964E-2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3.8389616910965898E-3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3.9385398704654594E-2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8.2560649142284198E-2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1.4909724004225279E-2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2.3181232862096336E-4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1.4702466202824465E-2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3.0726814225612201E-2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4.4815363328281677E-4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1.6053295947290661E-3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7.3720415080861454E-2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7.0218283546227236E-2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6.9218283546227222E-2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6.7218283546227234E-2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1.384699568298698E-2</v>
      </c>
      <c r="AB26" s="2">
        <f>SUMIFS(PERSALDATA!$G$2:$G$20871,PERSALDATA!$A$2:$A$20871,WORKING!A26,PERSALDATA!$D$2:$D$20871,WORKING!B26,PERSALDATA!$E$2:$E$20871,WORKING!C26,PERSALDATA!$F$2:$F$20871,"S&amp;W: BASIC SALARY (RES)")</f>
        <v>132</v>
      </c>
      <c r="AC26" s="2">
        <f>SUMIFS(PERSALDATA!$H$2:$H$20871,PERSALDATA!$A$2:$A$20871,WORKING!A26,PERSALDATA!$D$2:$D$20871,WORKING!B26,PERSALDATA!$E$2:$E$20871,WORKING!C26)</f>
        <v>33197544.09</v>
      </c>
    </row>
    <row r="27" spans="1:29" x14ac:dyDescent="0.25">
      <c r="A27" s="2">
        <f>Results!$D$3</f>
        <v>36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0.69819783827392878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6.9013993135944099E-2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3.4182490666795018E-2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2.0942878890065314E-3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4.3066968124594152E-2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9.0792747495107337E-2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2.4228282843683217E-2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1.8697446898260976E-4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2.8433865534214602E-2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8.1622783144521156E-3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1.6402732532914703E-3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7.400506826306788E-2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7.0304179615200954E-2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6.9304179615200953E-2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6.7304179615200965E-2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1.3838453501094423E-2</v>
      </c>
      <c r="AB27" s="2">
        <f>SUMIFS(PERSALDATA!$G$2:$G$20871,PERSALDATA!$A$2:$A$20871,WORKING!A27,PERSALDATA!$D$2:$D$20871,WORKING!B27,PERSALDATA!$E$2:$E$20871,WORKING!C27,PERSALDATA!$F$2:$F$20871,"S&amp;W: BASIC SALARY (RES)")</f>
        <v>51</v>
      </c>
      <c r="AC27" s="2">
        <f>SUMIFS(PERSALDATA!$H$2:$H$20871,PERSALDATA!$A$2:$A$20871,WORKING!A27,PERSALDATA!$D$2:$D$20871,WORKING!B27,PERSALDATA!$E$2:$E$20871,WORKING!C27)</f>
        <v>16245159.120000001</v>
      </c>
    </row>
    <row r="28" spans="1:29" x14ac:dyDescent="0.25">
      <c r="A28" s="2">
        <f>Results!$D$3</f>
        <v>36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0.72977359224917382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7.4753998114298448E-2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2.6914629536000625E-2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5.0384066671116988E-3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3.5058364381637584E-2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9.4870106058767667E-2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1.8868230691715115E-2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1.5193510569788397E-4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1.4570737195597152E-2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7.444530525660685E-2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7.025672917036456E-2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6.9256729170364573E-2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6.7256729170364557E-2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1.4068126064649959E-2</v>
      </c>
      <c r="AB28" s="2">
        <f>SUMIFS(PERSALDATA!$G$2:$G$20871,PERSALDATA!$A$2:$A$20871,WORKING!A28,PERSALDATA!$D$2:$D$20871,WORKING!B28,PERSALDATA!$E$2:$E$20871,WORKING!C28,PERSALDATA!$F$2:$F$20871,"S&amp;W: BASIC SALARY (RES)")</f>
        <v>16</v>
      </c>
      <c r="AC28" s="2">
        <f>SUMIFS(PERSALDATA!$H$2:$H$20871,PERSALDATA!$A$2:$A$20871,WORKING!A28,PERSALDATA!$D$2:$D$20871,WORKING!B28,PERSALDATA!$E$2:$E$20871,WORKING!C28)</f>
        <v>6676666.2999999998</v>
      </c>
    </row>
    <row r="29" spans="1:29" x14ac:dyDescent="0.25">
      <c r="A29" s="2">
        <f>Results!$D$3</f>
        <v>36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0.69645548188575801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5.3185477227484075E-2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2.1456379587345305E-2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1.3535941290451046E-4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1.8548285484890882E-2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8.454590476858917E-2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1.0260626613608116E-2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1.3604446780771383E-4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1.8011227390410507E-2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8.8131733258961342E-2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8.6989568011166599E-3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4.3452310112376244E-4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7.4628991148150234E-2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7.006366048639992E-2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6.9063660486399905E-2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6.7063660486399931E-2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1.4397889356899342E-2</v>
      </c>
      <c r="AB29" s="2">
        <f>SUMIFS(PERSALDATA!$G$2:$G$20871,PERSALDATA!$A$2:$A$20871,WORKING!A29,PERSALDATA!$D$2:$D$20871,WORKING!B29,PERSALDATA!$E$2:$E$20871,WORKING!C29,PERSALDATA!$F$2:$F$20871,"S&amp;W: BASIC SALARY (RES)")</f>
        <v>144</v>
      </c>
      <c r="AC29" s="2">
        <f>SUMIFS(PERSALDATA!$H$2:$H$20871,PERSALDATA!$A$2:$A$20871,WORKING!A29,PERSALDATA!$D$2:$D$20871,WORKING!B29,PERSALDATA!$E$2:$E$20871,WORKING!C29)</f>
        <v>61323552.030000009</v>
      </c>
    </row>
    <row r="30" spans="1:29" x14ac:dyDescent="0.25">
      <c r="A30" s="2">
        <f>Results!$D$3</f>
        <v>36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0.67776543849774418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4.2655424630033342E-2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1.950364752260797E-2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2.2287672097115935E-2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8.8121766883309818E-2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2.2377343894399746E-2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1.1058359497026322E-4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5.9929907517610867E-3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0.11654757006079071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4.1027239336254347E-3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5.3483813364147022E-4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1.4371471451779586E-2</v>
      </c>
      <c r="AB30" s="2">
        <f>SUMIFS(PERSALDATA!$G$2:$G$20871,PERSALDATA!$A$2:$A$20871,WORKING!A30,PERSALDATA!$D$2:$D$20871,WORKING!B30,PERSALDATA!$E$2:$E$20871,WORKING!C30,PERSALDATA!$F$2:$F$20871,"S&amp;W: BASIC SALARY (RES)")</f>
        <v>31</v>
      </c>
      <c r="AC30" s="2">
        <f>SUMIFS(PERSALDATA!$H$2:$H$20871,PERSALDATA!$A$2:$A$20871,WORKING!A30,PERSALDATA!$D$2:$D$20871,WORKING!B30,PERSALDATA!$E$2:$E$20871,WORKING!C30)</f>
        <v>16606893.639999997</v>
      </c>
    </row>
    <row r="31" spans="1:29" x14ac:dyDescent="0.25">
      <c r="A31" s="2">
        <f>Results!$D$3</f>
        <v>36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0.66409031275352337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4.7069313214927411E-2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1.3238146726529043E-2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1.9702465011206611E-2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8.4567830709270639E-2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2.1901135263697965E-2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9.0046709942533958E-5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1.0046221878996007E-2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0.13373101696450121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5.0637436075858426E-3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4.9976715981940459E-4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1.4504540123284828E-2</v>
      </c>
      <c r="AB31" s="2">
        <f>SUMIFS(PERSALDATA!$G$2:$G$20871,PERSALDATA!$A$2:$A$20871,WORKING!A31,PERSALDATA!$D$2:$D$20871,WORKING!B31,PERSALDATA!$E$2:$E$20871,WORKING!C31,PERSALDATA!$F$2:$F$20871,"S&amp;W: BASIC SALARY (RES)")</f>
        <v>56</v>
      </c>
      <c r="AC31" s="2">
        <f>SUMIFS(PERSALDATA!$H$2:$H$20871,PERSALDATA!$A$2:$A$20871,WORKING!A31,PERSALDATA!$D$2:$D$20871,WORKING!B31,PERSALDATA!$E$2:$E$20871,WORKING!C31)</f>
        <v>35544552.399999999</v>
      </c>
    </row>
    <row r="32" spans="1:29" x14ac:dyDescent="0.25">
      <c r="A32" s="2">
        <f>Results!$D$3</f>
        <v>36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0.66608216115080354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5.6351448653742996E-2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3.1593252966416849E-3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1.8810867303184819E-2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8.6590455048917214E-2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5.1968928812289577E-3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7.2975172064659936E-5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6.0302300261782394E-3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0.14863618461716926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7.5394640025690206E-3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1.5299958474994577E-3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1.4669352483421629E-2</v>
      </c>
      <c r="AB32" s="2">
        <f>SUMIFS(PERSALDATA!$G$2:$G$20871,PERSALDATA!$A$2:$A$20871,WORKING!A32,PERSALDATA!$D$2:$D$20871,WORKING!B32,PERSALDATA!$E$2:$E$20871,WORKING!C32,PERSALDATA!$F$2:$F$20871,"S&amp;W: BASIC SALARY (RES)")</f>
        <v>21</v>
      </c>
      <c r="AC32" s="2">
        <f>SUMIFS(PERSALDATA!$H$2:$H$20871,PERSALDATA!$A$2:$A$20871,WORKING!A32,PERSALDATA!$D$2:$D$20871,WORKING!B32,PERSALDATA!$E$2:$E$20871,WORKING!C32)</f>
        <v>17416060.340000004</v>
      </c>
    </row>
    <row r="33" spans="1:29" x14ac:dyDescent="0.25">
      <c r="A33" s="2">
        <f>Results!$D$3</f>
        <v>36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0.69182362984251122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4.9159222961726673E-2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6.2978124939989701E-3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1.381664467455011E-2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8.9936921561261388E-2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5.7480812018437623E-5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0.14737189409806448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1.53639355586882E-3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1.4697420930291489E-2</v>
      </c>
      <c r="AB33" s="2">
        <f>SUMIFS(PERSALDATA!$G$2:$G$20871,PERSALDATA!$A$2:$A$20871,WORKING!A33,PERSALDATA!$D$2:$D$20871,WORKING!B33,PERSALDATA!$E$2:$E$20871,WORKING!C33,PERSALDATA!$F$2:$F$20871,"S&amp;W: BASIC SALARY (RES)")</f>
        <v>19</v>
      </c>
      <c r="AC33" s="2">
        <f>SUMIFS(PERSALDATA!$H$2:$H$20871,PERSALDATA!$A$2:$A$20871,WORKING!A33,PERSALDATA!$D$2:$D$20871,WORKING!B33,PERSALDATA!$E$2:$E$20871,WORKING!C33)</f>
        <v>15416622.849999998</v>
      </c>
    </row>
    <row r="34" spans="1:29" x14ac:dyDescent="0.25">
      <c r="A34" s="2">
        <f>Results!$D$3</f>
        <v>36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0.6994021553650962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4.3185632569218486E-2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1.4888748686917761E-3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1.7398448873970185E-2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9.0922131812395265E-2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5.3256479696130406E-5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0.14754950003093192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1.4715891296664627E-2</v>
      </c>
      <c r="AB34" s="2">
        <f>SUMIFS(PERSALDATA!$G$2:$G$20871,PERSALDATA!$A$2:$A$20871,WORKING!A34,PERSALDATA!$D$2:$D$20871,WORKING!B34,PERSALDATA!$E$2:$E$20871,WORKING!C34,PERSALDATA!$F$2:$F$20871,"S&amp;W: BASIC SALARY (RES)")</f>
        <v>5</v>
      </c>
      <c r="AC34" s="2">
        <f>SUMIFS(PERSALDATA!$H$2:$H$20871,PERSALDATA!$A$2:$A$20871,WORKING!A34,PERSALDATA!$D$2:$D$20871,WORKING!B34,PERSALDATA!$E$2:$E$20871,WORKING!C34)</f>
        <v>8757619.7799999993</v>
      </c>
    </row>
    <row r="35" spans="1:29" x14ac:dyDescent="0.25">
      <c r="A35" s="2">
        <f>Results!$D$3</f>
        <v>36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36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36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36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0.64819663603317745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6.1458618230623013E-2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8.5565905961766373E-2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2.3686443347734471E-2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3.9830724031183151E-2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8.4274919240892171E-2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1.3128968252478834E-2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4.9346596666619393E-4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1.7167899597444732E-4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7.2089788757835887E-4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4.2471742051925519E-2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7.0054621283342305E-2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6.9741801800850073E-2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6.8741801800850114E-2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6.6741801800850098E-2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1.3111648560605767E-2</v>
      </c>
      <c r="AB38" s="2">
        <f>SUMIFS(PERSALDATA!$G$2:$G$20871,PERSALDATA!$A$2:$A$20871,WORKING!A38,PERSALDATA!$D$2:$D$20871,WORKING!B38,PERSALDATA!$E$2:$E$20871,WORKING!C38,PERSALDATA!$F$2:$F$20871,"S&amp;W: BASIC SALARY (RES)")</f>
        <v>36</v>
      </c>
      <c r="AC38" s="2">
        <f>SUMIFS(PERSALDATA!$H$2:$H$20871,PERSALDATA!$A$2:$A$20871,WORKING!A38,PERSALDATA!$D$2:$D$20871,WORKING!B38,PERSALDATA!$E$2:$E$20871,WORKING!C38)</f>
        <v>5848123.6699999999</v>
      </c>
    </row>
    <row r="39" spans="1:29" x14ac:dyDescent="0.25">
      <c r="A39" s="2">
        <f>Results!$D$3</f>
        <v>36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0.68499885721725629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6.6694428018334806E-2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7.9759006171754188E-2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2.2247694054341058E-2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2.6484440286980989E-2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8.9065976798758092E-2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8.4981874495380395E-3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4.535690200226287E-4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6.5633337065241495E-4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2.1141507612361443E-2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7.0309097694964406E-2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6.9599676542587169E-2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6.8599676542587182E-2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6.6599676542587166E-2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1.3399544767818631E-2</v>
      </c>
      <c r="AB39" s="2">
        <f>SUMIFS(PERSALDATA!$G$2:$G$20871,PERSALDATA!$A$2:$A$20871,WORKING!A39,PERSALDATA!$D$2:$D$20871,WORKING!B39,PERSALDATA!$E$2:$E$20871,WORKING!C39,PERSALDATA!$F$2:$F$20871,"S&amp;W: BASIC SALARY (RES)")</f>
        <v>72</v>
      </c>
      <c r="AC39" s="2">
        <f>SUMIFS(PERSALDATA!$H$2:$H$20871,PERSALDATA!$A$2:$A$20871,WORKING!A39,PERSALDATA!$D$2:$D$20871,WORKING!B39,PERSALDATA!$E$2:$E$20871,WORKING!C39)</f>
        <v>13033010.940000001</v>
      </c>
    </row>
    <row r="40" spans="1:29" x14ac:dyDescent="0.25">
      <c r="A40" s="2">
        <f>Results!$D$3</f>
        <v>36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0.65027052452954259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5.4675562563580103E-2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5.5458398944984069E-2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8.6550133576175386E-2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8.4534313205190115E-2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1.8725702995029809E-2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3.592471842769523E-4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7.3814615492079861E-3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4.2044655452013018E-2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7.1785161680181217E-2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6.9445416010550182E-2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6.8445416010550167E-2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6.6445416010550165E-2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1.4162735308061085E-2</v>
      </c>
      <c r="AB40" s="2">
        <f>SUMIFS(PERSALDATA!$G$2:$G$20871,PERSALDATA!$A$2:$A$20871,WORKING!A40,PERSALDATA!$D$2:$D$20871,WORKING!B40,PERSALDATA!$E$2:$E$20871,WORKING!C40,PERSALDATA!$F$2:$F$20871,"S&amp;W: BASIC SALARY (RES)")</f>
        <v>5</v>
      </c>
      <c r="AC40" s="2">
        <f>SUMIFS(PERSALDATA!$H$2:$H$20871,PERSALDATA!$A$2:$A$20871,WORKING!A40,PERSALDATA!$D$2:$D$20871,WORKING!B40,PERSALDATA!$E$2:$E$20871,WORKING!C40)</f>
        <v>973702.83</v>
      </c>
    </row>
    <row r="41" spans="1:29" x14ac:dyDescent="0.25">
      <c r="A41" s="2">
        <f>Results!$D$3</f>
        <v>36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0.70102400095752915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5.4458360416383661E-2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5.7586668745703763E-2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1.3394941079544644E-2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5.3434128694506311E-2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8.227591661922333E-2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1.3965713896363465E-2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3.1760379146032611E-4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1.0706821835120305E-2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6.8307500030307389E-3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6.0050939611340408E-3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7.2371490977049605E-2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7.0225645242960558E-2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6.9225645242960557E-2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6.7225645242960541E-2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1.3329923981524942E-2</v>
      </c>
      <c r="AB41" s="2">
        <f>SUMIFS(PERSALDATA!$G$2:$G$20871,PERSALDATA!$A$2:$A$20871,WORKING!A41,PERSALDATA!$D$2:$D$20871,WORKING!B41,PERSALDATA!$E$2:$E$20871,WORKING!C41,PERSALDATA!$F$2:$F$20871,"S&amp;W: BASIC SALARY (RES)")</f>
        <v>32</v>
      </c>
      <c r="AC41" s="2">
        <f>SUMIFS(PERSALDATA!$H$2:$H$20871,PERSALDATA!$A$2:$A$20871,WORKING!A41,PERSALDATA!$D$2:$D$20871,WORKING!B41,PERSALDATA!$E$2:$E$20871,WORKING!C41)</f>
        <v>5746121.580000001</v>
      </c>
    </row>
    <row r="42" spans="1:29" x14ac:dyDescent="0.25">
      <c r="A42" s="2">
        <f>Results!$D$3</f>
        <v>36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0.700390437785539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5.9029014307383242E-2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5.041292393473825E-2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7.2306028792473599E-3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4.0936437605046637E-2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9.1049915542579116E-2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2.0581082351781056E-2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2.6195330859935152E-4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2.3907809042707433E-2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2.0993104901592735E-3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4.1005127522191782E-3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7.2741727907430526E-2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7.0109917324728308E-2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6.9109917324728307E-2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6.7109917324728319E-2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1.3625830277274233E-2</v>
      </c>
      <c r="AB42" s="2">
        <f>SUMIFS(PERSALDATA!$G$2:$G$20871,PERSALDATA!$A$2:$A$20871,WORKING!A42,PERSALDATA!$D$2:$D$20871,WORKING!B42,PERSALDATA!$E$2:$E$20871,WORKING!C42,PERSALDATA!$F$2:$F$20871,"S&amp;W: BASIC SALARY (RES)")</f>
        <v>24</v>
      </c>
      <c r="AC42" s="2">
        <f>SUMIFS(PERSALDATA!$H$2:$H$20871,PERSALDATA!$A$2:$A$20871,WORKING!A42,PERSALDATA!$D$2:$D$20871,WORKING!B42,PERSALDATA!$E$2:$E$20871,WORKING!C42)</f>
        <v>6498333.6500000004</v>
      </c>
    </row>
    <row r="43" spans="1:29" x14ac:dyDescent="0.25">
      <c r="A43" s="2">
        <f>Results!$D$3</f>
        <v>36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0.71987440279023329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6.0303452976447854E-2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4.3631010851568751E-2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1.1453565542464204E-2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3.6025412371852514E-2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9.2148916315786922E-2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1.9299071590171125E-2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2.392517133052668E-4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1.2120201070854889E-2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4.081932105587628E-3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8.2278267172745999E-4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7.3188398948486708E-2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7.0104071077062083E-2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6.910407107706211E-2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6.7104071077062094E-2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1.38015648759491E-2</v>
      </c>
      <c r="AB43" s="2">
        <f>SUMIFS(PERSALDATA!$G$2:$G$20871,PERSALDATA!$A$2:$A$20871,WORKING!A43,PERSALDATA!$D$2:$D$20871,WORKING!B43,PERSALDATA!$E$2:$E$20871,WORKING!C43,PERSALDATA!$F$2:$F$20871,"S&amp;W: BASIC SALARY (RES)")</f>
        <v>36</v>
      </c>
      <c r="AC43" s="2">
        <f>SUMIFS(PERSALDATA!$H$2:$H$20871,PERSALDATA!$A$2:$A$20871,WORKING!A43,PERSALDATA!$D$2:$D$20871,WORKING!B43,PERSALDATA!$E$2:$E$20871,WORKING!C43)</f>
        <v>10795074.210000001</v>
      </c>
    </row>
    <row r="44" spans="1:29" x14ac:dyDescent="0.25">
      <c r="A44" s="2">
        <f>Results!$D$3</f>
        <v>36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0.7045505354949112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5.6981656626715824E-2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3.2059681241952222E-2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4.1133371858101857E-3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4.2507128754416909E-2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9.1591028390327497E-2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2.5089856710860791E-2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1.8677900886756012E-4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3.7387588284558557E-2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5.5324083015792407E-3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7.415856402817346E-2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7.0317010118896725E-2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6.9317010118896738E-2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6.7317010118896722E-2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1.3878696164921449E-2</v>
      </c>
      <c r="AB44" s="2">
        <f>SUMIFS(PERSALDATA!$G$2:$G$20871,PERSALDATA!$A$2:$A$20871,WORKING!A44,PERSALDATA!$D$2:$D$20871,WORKING!B44,PERSALDATA!$E$2:$E$20871,WORKING!C44,PERSALDATA!$F$2:$F$20871,"S&amp;W: BASIC SALARY (RES)")</f>
        <v>30</v>
      </c>
      <c r="AC44" s="2">
        <f>SUMIFS(PERSALDATA!$H$2:$H$20871,PERSALDATA!$A$2:$A$20871,WORKING!A44,PERSALDATA!$D$2:$D$20871,WORKING!B44,PERSALDATA!$E$2:$E$20871,WORKING!C44)</f>
        <v>11238414.92</v>
      </c>
    </row>
    <row r="45" spans="1:29" x14ac:dyDescent="0.25">
      <c r="A45" s="2">
        <f>Results!$D$3</f>
        <v>36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0.67940360907761077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5.8731482276786963E-2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1.8940019892702897E-2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4.6888923380769571E-3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4.7656667609353554E-2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8.8322054077986739E-2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1.97745676758951E-2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1.5090776516509243E-4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2.9213810612154181E-2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5.3117988674267959E-2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7.5227751834685538E-2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7.0525449815213304E-2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6.9525449815213289E-2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6.7525449815213301E-2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1.399878607099168E-2</v>
      </c>
      <c r="AB45" s="2">
        <f>SUMIFS(PERSALDATA!$G$2:$G$20871,PERSALDATA!$A$2:$A$20871,WORKING!A45,PERSALDATA!$D$2:$D$20871,WORKING!B45,PERSALDATA!$E$2:$E$20871,WORKING!C45,PERSALDATA!$F$2:$F$20871,"S&amp;W: BASIC SALARY (RES)")</f>
        <v>9</v>
      </c>
      <c r="AC45" s="2">
        <f>SUMIFS(PERSALDATA!$H$2:$H$20871,PERSALDATA!$A$2:$A$20871,WORKING!A45,PERSALDATA!$D$2:$D$20871,WORKING!B45,PERSALDATA!$E$2:$E$20871,WORKING!C45)</f>
        <v>4751842.9499999993</v>
      </c>
    </row>
    <row r="46" spans="1:29" x14ac:dyDescent="0.25">
      <c r="A46" s="2">
        <f>Results!$D$3</f>
        <v>36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0.71616206817806616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5.6350574342578376E-2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2.453251827503004E-2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1.1753411326141266E-3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3.3244009594693022E-2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9.3100701104586236E-2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2.1166149902853332E-2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1.3207471270440405E-4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3.7006025465910135E-2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1.7130537290964129E-2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7.460094474542342E-2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7.0253334961170102E-2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6.9253334961170102E-2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6.72533349611701E-2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1.4131370961263585E-2</v>
      </c>
      <c r="AB46" s="2">
        <f>SUMIFS(PERSALDATA!$G$2:$G$20871,PERSALDATA!$A$2:$A$20871,WORKING!A46,PERSALDATA!$D$2:$D$20871,WORKING!B46,PERSALDATA!$E$2:$E$20871,WORKING!C46,PERSALDATA!$F$2:$F$20871,"S&amp;W: BASIC SALARY (RES)")</f>
        <v>21</v>
      </c>
      <c r="AC46" s="2">
        <f>SUMIFS(PERSALDATA!$H$2:$H$20871,PERSALDATA!$A$2:$A$20871,WORKING!A46,PERSALDATA!$D$2:$D$20871,WORKING!B46,PERSALDATA!$E$2:$E$20871,WORKING!C46)</f>
        <v>11081455.109999999</v>
      </c>
    </row>
    <row r="47" spans="1:29" x14ac:dyDescent="0.25">
      <c r="A47" s="2">
        <f>Results!$D$3</f>
        <v>36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0.63515430016684682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7.6663133511578344E-2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2.1400783410384604E-2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1.8558194830612256E-2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8.2569720929636672E-2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3.2500612240985431E-2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1.058345068144242E-4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4.8757638149862599E-3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9.6750317826116386E-2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3.1421338762039057E-2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1.4399027808782834E-2</v>
      </c>
      <c r="AB47" s="2">
        <f>SUMIFS(PERSALDATA!$G$2:$G$20871,PERSALDATA!$A$2:$A$20871,WORKING!A47,PERSALDATA!$D$2:$D$20871,WORKING!B47,PERSALDATA!$E$2:$E$20871,WORKING!C47,PERSALDATA!$F$2:$F$20871,"S&amp;W: BASIC SALARY (RES)")</f>
        <v>5</v>
      </c>
      <c r="AC47" s="2">
        <f>SUMIFS(PERSALDATA!$H$2:$H$20871,PERSALDATA!$A$2:$A$20871,WORKING!A47,PERSALDATA!$D$2:$D$20871,WORKING!B47,PERSALDATA!$E$2:$E$20871,WORKING!C47)</f>
        <v>3471835.5199999996</v>
      </c>
    </row>
    <row r="48" spans="1:29" x14ac:dyDescent="0.25">
      <c r="A48" s="2">
        <f>Results!$D$3</f>
        <v>36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0.69483564973098089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4.8394712869785514E-2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1.2101450672871506E-2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9.3351084865495103E-4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1.8339872765989387E-2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8.9159089006195527E-2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1.2213726322968134E-2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9.3878084616590371E-5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1.9386746931355416E-2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7.6092510105416969E-2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2.7183423693960408E-2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1.2344260388096283E-3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3.1002928395130947E-5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1.454150693322191E-2</v>
      </c>
      <c r="AB48" s="2">
        <f>SUMIFS(PERSALDATA!$G$2:$G$20871,PERSALDATA!$A$2:$A$20871,WORKING!A48,PERSALDATA!$D$2:$D$20871,WORKING!B48,PERSALDATA!$E$2:$E$20871,WORKING!C48,PERSALDATA!$F$2:$F$20871,"S&amp;W: BASIC SALARY (RES)")</f>
        <v>26</v>
      </c>
      <c r="AC48" s="2">
        <f>SUMIFS(PERSALDATA!$H$2:$H$20871,PERSALDATA!$A$2:$A$20871,WORKING!A48,PERSALDATA!$D$2:$D$20871,WORKING!B48,PERSALDATA!$E$2:$E$20871,WORKING!C48)</f>
        <v>19187864.849999998</v>
      </c>
    </row>
    <row r="49" spans="1:29" x14ac:dyDescent="0.25">
      <c r="A49" s="2">
        <f>Results!$D$3</f>
        <v>36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0.66465208729282221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6.978357073843279E-2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4.0117107946484008E-2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1.8341095676810911E-2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8.6404580420775909E-2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7.5630053226816244E-5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3.0572762820992987E-4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0.10999715734557526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1.0323042897662045E-2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1.4121992494852173E-2</v>
      </c>
      <c r="AB49" s="2">
        <f>SUMIFS(PERSALDATA!$G$2:$G$20871,PERSALDATA!$A$2:$A$20871,WORKING!A49,PERSALDATA!$D$2:$D$20871,WORKING!B49,PERSALDATA!$E$2:$E$20871,WORKING!C49,PERSALDATA!$F$2:$F$20871,"S&amp;W: BASIC SALARY (RES)")</f>
        <v>13</v>
      </c>
      <c r="AC49" s="2">
        <f>SUMIFS(PERSALDATA!$H$2:$H$20871,PERSALDATA!$A$2:$A$20871,WORKING!A49,PERSALDATA!$D$2:$D$20871,WORKING!B49,PERSALDATA!$E$2:$E$20871,WORKING!C49)</f>
        <v>12255974.450000001</v>
      </c>
    </row>
    <row r="50" spans="1:29" x14ac:dyDescent="0.25">
      <c r="A50" s="2">
        <f>Results!$D$3</f>
        <v>36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0.57927399343491826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8.2753427633559737E-2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4.0343320734854979E-3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1.3850487653356627E-2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7.5305523604679722E-2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6.2888117616097469E-5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0.24471934748238416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1.4730784382333125E-2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648930.22</v>
      </c>
    </row>
    <row r="51" spans="1:29" x14ac:dyDescent="0.25">
      <c r="A51" s="2">
        <f>Results!$D$3</f>
        <v>36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36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36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36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36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36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0.64306501366471047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7.4264078982113277E-2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7.787098903119137E-2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0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8.4174831000383046E-2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8.3597473238851805E-2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0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4.3236939623985293E-4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0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3.6595244686510146E-2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7.1260252467634816E-2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7.048391257469383E-2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6.9483912574693843E-2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6.7483912574693841E-2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1.2562827158582784E-2</v>
      </c>
      <c r="AB56" s="2">
        <f>SUMIFS(PERSALDATA!$G$2:$G$20871,PERSALDATA!$A$2:$A$20871,WORKING!A56,PERSALDATA!$D$2:$D$20871,WORKING!B56,PERSALDATA!$E$2:$E$20871,WORKING!C56,PERSALDATA!$F$2:$F$20871,"S&amp;W: BASIC SALARY (RES)")</f>
        <v>1</v>
      </c>
      <c r="AC56" s="2">
        <f>SUMIFS(PERSALDATA!$H$2:$H$20871,PERSALDATA!$A$2:$A$20871,WORKING!A56,PERSALDATA!$D$2:$D$20871,WORKING!B56,PERSALDATA!$E$2:$E$20871,WORKING!C56)</f>
        <v>242709.13</v>
      </c>
    </row>
    <row r="57" spans="1:29" x14ac:dyDescent="0.25">
      <c r="A57" s="2">
        <f>Results!$D$3</f>
        <v>36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0.73385968080328734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6.4415510956400232E-2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6.4719013519801916E-2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2.9288526118373105E-2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9.5401409529354456E-2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1.2167893641872983E-2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1.479654309099785E-4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7.149139433815227E-2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6.9792137756577582E-2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6.8792137756577582E-2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6.6792137756577566E-2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1.3587667423963723E-2</v>
      </c>
      <c r="AB57" s="2">
        <f>SUMIFS(PERSALDATA!$G$2:$G$20871,PERSALDATA!$A$2:$A$20871,WORKING!A57,PERSALDATA!$D$2:$D$20871,WORKING!B57,PERSALDATA!$E$2:$E$20871,WORKING!C57,PERSALDATA!$F$2:$F$20871,"S&amp;W: BASIC SALARY (RES)")</f>
        <v>2</v>
      </c>
      <c r="AC57" s="2">
        <f>SUMIFS(PERSALDATA!$H$2:$H$20871,PERSALDATA!$A$2:$A$20871,WORKING!A57,PERSALDATA!$D$2:$D$20871,WORKING!B57,PERSALDATA!$E$2:$E$20871,WORKING!C57)</f>
        <v>472813.14</v>
      </c>
    </row>
    <row r="58" spans="1:29" x14ac:dyDescent="0.25">
      <c r="A58" s="2">
        <f>Results!$D$3</f>
        <v>36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0.72732341947374979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4.0707988040227162E-2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4.9580774948571854E-2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7.0713520852132478E-2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7.9615858467369613E-2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7.257015136703359E-3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3.3138956566587831E-4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1.0421303276930785E-2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1.4048730238648971E-2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7.3221850395838395E-2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7.056489506329626E-2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6.9564895063296259E-2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6.7564895063296271E-2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1.3190614719504447E-2</v>
      </c>
      <c r="AB58" s="2">
        <f>SUMIFS(PERSALDATA!$G$2:$G$20871,PERSALDATA!$A$2:$A$20871,WORKING!A58,PERSALDATA!$D$2:$D$20871,WORKING!B58,PERSALDATA!$E$2:$E$20871,WORKING!C58,PERSALDATA!$F$2:$F$20871,"S&amp;W: BASIC SALARY (RES)")</f>
        <v>14</v>
      </c>
      <c r="AC58" s="2">
        <f>SUMIFS(PERSALDATA!$H$2:$H$20871,PERSALDATA!$A$2:$A$20871,WORKING!A58,PERSALDATA!$D$2:$D$20871,WORKING!B58,PERSALDATA!$E$2:$E$20871,WORKING!C58)</f>
        <v>2831742.7500000005</v>
      </c>
    </row>
    <row r="59" spans="1:29" x14ac:dyDescent="0.25">
      <c r="A59" s="2">
        <f>Results!$D$3</f>
        <v>36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0.68812013976729047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6.0730642388403262E-2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5.2539640890992861E-2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6.1981250506664164E-2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8.9454874624052438E-2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1.6381579205686309E-2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2.7980039368376714E-4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6.322635191912322E-3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2.3120901234670838E-2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1.068535796643589E-3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7.2874724799377844E-2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7.040432234869004E-2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6.940432234869004E-2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6.7404322348690038E-2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1.327798962312989E-2</v>
      </c>
      <c r="AB59" s="2">
        <f>SUMIFS(PERSALDATA!$G$2:$G$20871,PERSALDATA!$A$2:$A$20871,WORKING!A59,PERSALDATA!$D$2:$D$20871,WORKING!B59,PERSALDATA!$E$2:$E$20871,WORKING!C59,PERSALDATA!$F$2:$F$20871,"S&amp;W: BASIC SALARY (RES)")</f>
        <v>28</v>
      </c>
      <c r="AC59" s="2">
        <f>SUMIFS(PERSALDATA!$H$2:$H$20871,PERSALDATA!$A$2:$A$20871,WORKING!A59,PERSALDATA!$D$2:$D$20871,WORKING!B59,PERSALDATA!$E$2:$E$20871,WORKING!C59)</f>
        <v>7834084.7599999998</v>
      </c>
    </row>
    <row r="60" spans="1:29" x14ac:dyDescent="0.25">
      <c r="A60" s="2">
        <f>Results!$D$3</f>
        <v>36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0.71680019841727405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5.8809209730276001E-2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3.8485561102622329E-2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5.4728193148412048E-2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8.9500045957164154E-2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1.6920405097016054E-2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2.3901778601364814E-4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6.0374911103635602E-3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1.048349797189471E-2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6.8198579955911914E-3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1.1765216833721122E-3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7.3841292060278452E-2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7.0436067286199958E-2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6.9436067286199943E-2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6.7436067286199969E-2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1.3598208419444277E-2</v>
      </c>
      <c r="AB60" s="2">
        <f>SUMIFS(PERSALDATA!$G$2:$G$20871,PERSALDATA!$A$2:$A$20871,WORKING!A60,PERSALDATA!$D$2:$D$20871,WORKING!B60,PERSALDATA!$E$2:$E$20871,WORKING!C60,PERSALDATA!$F$2:$F$20871,"S&amp;W: BASIC SALARY (RES)")</f>
        <v>52</v>
      </c>
      <c r="AC60" s="2">
        <f>SUMIFS(PERSALDATA!$H$2:$H$20871,PERSALDATA!$A$2:$A$20871,WORKING!A60,PERSALDATA!$D$2:$D$20871,WORKING!B60,PERSALDATA!$E$2:$E$20871,WORKING!C60)</f>
        <v>15099169.23</v>
      </c>
    </row>
    <row r="61" spans="1:29" x14ac:dyDescent="0.25">
      <c r="A61" s="2">
        <f>Results!$D$3</f>
        <v>36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0.72557698784035107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6.4372028588823224E-2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3.1846116257417227E-2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3.9536587402034674E-2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9.4324494067203474E-2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7.5383987215724077E-3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1.949334146388024E-4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2.7066629240754529E-2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9.5438244672044689E-3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7.4133207388064767E-2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7.0274587648456344E-2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6.9274587648456343E-2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6.7274587648456341E-2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1.3926335443888639E-2</v>
      </c>
      <c r="AB61" s="2">
        <f>SUMIFS(PERSALDATA!$G$2:$G$20871,PERSALDATA!$A$2:$A$20871,WORKING!A61,PERSALDATA!$D$2:$D$20871,WORKING!B61,PERSALDATA!$E$2:$E$20871,WORKING!C61,PERSALDATA!$F$2:$F$20871,"S&amp;W: BASIC SALARY (RES)")</f>
        <v>36</v>
      </c>
      <c r="AC61" s="2">
        <f>SUMIFS(PERSALDATA!$H$2:$H$20871,PERSALDATA!$A$2:$A$20871,WORKING!A61,PERSALDATA!$D$2:$D$20871,WORKING!B61,PERSALDATA!$E$2:$E$20871,WORKING!C61)</f>
        <v>14893495.840000004</v>
      </c>
    </row>
    <row r="62" spans="1:29" x14ac:dyDescent="0.25">
      <c r="A62" s="2">
        <f>Results!$D$3</f>
        <v>36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0.73865513776382863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4.7598656499367543E-2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2.765116957804049E-2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3.6253287476933342E-2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9.6024713130314285E-2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9.1096421336586911E-3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1.6465884276241376E-4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3.439831916724638E-2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1.0144415407848184E-2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7.4406057136745987E-2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7.0267287616373603E-2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6.926728761637363E-2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6.7267287616373586E-2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1.4038963261533956E-2</v>
      </c>
      <c r="AB62" s="2">
        <f>SUMIFS(PERSALDATA!$G$2:$G$20871,PERSALDATA!$A$2:$A$20871,WORKING!A62,PERSALDATA!$D$2:$D$20871,WORKING!B62,PERSALDATA!$E$2:$E$20871,WORKING!C62,PERSALDATA!$F$2:$F$20871,"S&amp;W: BASIC SALARY (RES)")</f>
        <v>19</v>
      </c>
      <c r="AC62" s="2">
        <f>SUMIFS(PERSALDATA!$H$2:$H$20871,PERSALDATA!$A$2:$A$20871,WORKING!A62,PERSALDATA!$D$2:$D$20871,WORKING!B62,PERSALDATA!$E$2:$E$20871,WORKING!C62)</f>
        <v>6585616.5500000007</v>
      </c>
    </row>
    <row r="63" spans="1:29" x14ac:dyDescent="0.25">
      <c r="A63" s="2">
        <f>Results!$D$3</f>
        <v>36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0.7272565300807623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6.0120976242323217E-2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1.9403934804843499E-2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3.1750974233630949E-2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9.1451519743566884E-2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1.5011813071691017E-2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1.3534130404006486E-4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2.749957983846392E-2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1.736924071370648E-2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9.7480270712550915E-3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2.5206289571657676E-4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7.4969814594102735E-2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7.0282225265456036E-2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6.9282225265456035E-2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6.7282225265456033E-2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1.4230646244862281E-2</v>
      </c>
      <c r="AB63" s="2">
        <f>SUMIFS(PERSALDATA!$G$2:$G$20871,PERSALDATA!$A$2:$A$20871,WORKING!A63,PERSALDATA!$D$2:$D$20871,WORKING!B63,PERSALDATA!$E$2:$E$20871,WORKING!C63,PERSALDATA!$F$2:$F$20871,"S&amp;W: BASIC SALARY (RES)")</f>
        <v>62</v>
      </c>
      <c r="AC63" s="2">
        <f>SUMIFS(PERSALDATA!$H$2:$H$20871,PERSALDATA!$A$2:$A$20871,WORKING!A63,PERSALDATA!$D$2:$D$20871,WORKING!B63,PERSALDATA!$E$2:$E$20871,WORKING!C63)</f>
        <v>33209965.219999999</v>
      </c>
    </row>
    <row r="64" spans="1:29" x14ac:dyDescent="0.25">
      <c r="A64" s="2">
        <f>Results!$D$3</f>
        <v>36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0.67912695798400813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5.6031551321836466E-2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1.3455027478866243E-3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1.7753908758364009E-2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8.8286151747100541E-2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2.7811017052744854E-2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1.0589779377241678E-4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1.302177783655133E-2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0.10944276967973243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7.0744650780031667E-3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1.4711920360499654E-2</v>
      </c>
      <c r="AB64" s="2">
        <f>SUMIFS(PERSALDATA!$G$2:$G$20871,PERSALDATA!$A$2:$A$20871,WORKING!A64,PERSALDATA!$D$2:$D$20871,WORKING!B64,PERSALDATA!$E$2:$E$20871,WORKING!C64,PERSALDATA!$F$2:$F$20871,"S&amp;W: BASIC SALARY (RES)")</f>
        <v>6</v>
      </c>
      <c r="AC64" s="2">
        <f>SUMIFS(PERSALDATA!$H$2:$H$20871,PERSALDATA!$A$2:$A$20871,WORKING!A64,PERSALDATA!$D$2:$D$20871,WORKING!B64,PERSALDATA!$E$2:$E$20871,WORKING!C64)</f>
        <v>4459299.7</v>
      </c>
    </row>
    <row r="65" spans="1:29" x14ac:dyDescent="0.25">
      <c r="A65" s="2">
        <f>Results!$D$3</f>
        <v>36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0.69697938059691211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5.7386111450432979E-2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7.7586391838019549E-3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1.8391428500966558E-2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9.0607055220946739E-2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1.3735629043888619E-2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9.2213425895647179E-5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8.9750000848164927E-3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8.5747241803940416E-2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1.9502535546691242E-2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8.2476514170720715E-4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1.4606365783340038E-2</v>
      </c>
      <c r="AB65" s="2">
        <f>SUMIFS(PERSALDATA!$G$2:$G$20871,PERSALDATA!$A$2:$A$20871,WORKING!A65,PERSALDATA!$D$2:$D$20871,WORKING!B65,PERSALDATA!$E$2:$E$20871,WORKING!C65,PERSALDATA!$F$2:$F$20871,"S&amp;W: BASIC SALARY (RES)")</f>
        <v>42</v>
      </c>
      <c r="AC65" s="2">
        <f>SUMIFS(PERSALDATA!$H$2:$H$20871,PERSALDATA!$A$2:$A$20871,WORKING!A65,PERSALDATA!$D$2:$D$20871,WORKING!B65,PERSALDATA!$E$2:$E$20871,WORKING!C65)</f>
        <v>32307985.209999997</v>
      </c>
    </row>
    <row r="66" spans="1:29" x14ac:dyDescent="0.25">
      <c r="A66" s="2">
        <f>Results!$D$3</f>
        <v>36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0.65981449812727966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5.9372202007460899E-2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2.6402868917251545E-2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1.6619751318597459E-2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8.5775668696637289E-2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6.9730739533601319E-3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7.7031210431093681E-5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2.1054195860473893E-3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0.14232529801705823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5.3418816587633415E-4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1.4353505228305799E-2</v>
      </c>
      <c r="AB66" s="2">
        <f>SUMIFS(PERSALDATA!$G$2:$G$20871,PERSALDATA!$A$2:$A$20871,WORKING!A66,PERSALDATA!$D$2:$D$20871,WORKING!B66,PERSALDATA!$E$2:$E$20871,WORKING!C66,PERSALDATA!$F$2:$F$20871,"S&amp;W: BASIC SALARY (RES)")</f>
        <v>11</v>
      </c>
      <c r="AC66" s="2">
        <f>SUMIFS(PERSALDATA!$H$2:$H$20871,PERSALDATA!$A$2:$A$20871,WORKING!A66,PERSALDATA!$D$2:$D$20871,WORKING!B66,PERSALDATA!$E$2:$E$20871,WORKING!C66)</f>
        <v>12412760.939999998</v>
      </c>
    </row>
    <row r="67" spans="1:29" x14ac:dyDescent="0.25">
      <c r="A67" s="2">
        <f>Results!$D$3</f>
        <v>36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0.69996089700996078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0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6.4436102515979757E-3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9.0994740507319857E-2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5.6069026517636111E-5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0.20254468320460378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1.4902504810828266E-2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935810.78999999992</v>
      </c>
    </row>
    <row r="68" spans="1:29" x14ac:dyDescent="0.25">
      <c r="A68" s="2">
        <f>Results!$D$3</f>
        <v>36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0.72269446551335048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5.0953932075100804E-3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1.818754581054232E-2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9.3950078067130613E-2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5.4833040504440454E-5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0.16001768436096198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1.4726364317234297E-2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850582.05</v>
      </c>
    </row>
    <row r="69" spans="1:29" x14ac:dyDescent="0.25">
      <c r="A69" s="2">
        <f>Results!$D$3</f>
        <v>36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36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36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36</v>
      </c>
      <c r="B72" s="2">
        <v>5</v>
      </c>
      <c r="C72" s="2">
        <v>2</v>
      </c>
      <c r="D72" s="62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>0.64984336392258524</v>
      </c>
      <c r="E72" s="62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>5.9112699887616645E-2</v>
      </c>
      <c r="F72" s="62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>8.2770064926845466E-2</v>
      </c>
      <c r="G72" s="69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>3.8514332514606401E-3</v>
      </c>
      <c r="H72" s="62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>0.10488660250286642</v>
      </c>
      <c r="I72" s="62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>8.4963337877605072E-2</v>
      </c>
      <c r="J72" s="62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>0</v>
      </c>
      <c r="K72" s="62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>5.7515998450276837E-4</v>
      </c>
      <c r="L72" s="62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>0</v>
      </c>
      <c r="M72" s="62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>0</v>
      </c>
      <c r="N72" s="62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>0</v>
      </c>
      <c r="O72" s="62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>0</v>
      </c>
      <c r="P72" s="62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>1.3997337646517645E-2</v>
      </c>
      <c r="Q72" s="62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>0</v>
      </c>
      <c r="R72" s="62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>0</v>
      </c>
      <c r="S72" s="62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>0</v>
      </c>
      <c r="T72" s="62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>0</v>
      </c>
      <c r="U72" s="62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>0</v>
      </c>
      <c r="V72" s="62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>0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7.1177887500599876E-2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7.074559838827453E-2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6.974559838827453E-2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6.7745598388274528E-2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1.2176522588786778E-2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1196084.6000000001</v>
      </c>
    </row>
    <row r="73" spans="1:29" x14ac:dyDescent="0.25">
      <c r="A73" s="2">
        <f>Results!$D$3</f>
        <v>36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0.67337334783517788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4.785212074849339E-2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7.5447610248425279E-2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3.1877487394060236E-3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0.10139067330707657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8.7589932594958869E-2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0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5.0841337062631988E-4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0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1.6321664230475894E-3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9.0179867327881032E-3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7.1685451047418747E-2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7.0766383997121901E-2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6.97663839971219E-2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6.7766383997121912E-2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1.2339799546108076E-2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3554784.5600000005</v>
      </c>
    </row>
    <row r="74" spans="1:29" x14ac:dyDescent="0.25">
      <c r="A74" s="2">
        <f>Results!$D$3</f>
        <v>36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0.6877856353984908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3.1715175827207696E-2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6.5067069609088451E-2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1.9818626105772672E-3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0.10352773247672722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8.9411166636974085E-2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0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4.3077613269839216E-4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5.8104089863760316E-3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0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1.4270172321859897E-2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7.2504290964383461E-2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7.0902245291060012E-2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6.9902245291060011E-2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6.7902245291060023E-2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1.2464616326722286E-2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1244869.3400000001</v>
      </c>
    </row>
    <row r="75" spans="1:29" x14ac:dyDescent="0.25">
      <c r="A75" s="2">
        <f>Results!$D$3</f>
        <v>36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0.70481673675035328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3.5582330183693875E-2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3.6294877929245913E-2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4.4539258664249106E-4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4.6027572847475842E-2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5.3155388939148868E-2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5.774738480045667E-3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3.5492677744758595E-4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5.4937387209723874E-3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0.10252497511002438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9.5293216749497128E-3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7.3885975297241974E-2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7.0327464813419685E-2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6.9327464813419684E-2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6.7327464813419682E-2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1.3759839336687457E-2</v>
      </c>
      <c r="AB75" s="2">
        <f>SUMIFS(PERSALDATA!$G$2:$G$20871,PERSALDATA!$A$2:$A$20871,WORKING!A75,PERSALDATA!$D$2:$D$20871,WORKING!B75,PERSALDATA!$E$2:$E$20871,WORKING!C75,PERSALDATA!$F$2:$F$20871,"S&amp;W: BASIC SALARY (RES)")</f>
        <v>51</v>
      </c>
      <c r="AC75" s="2">
        <f>SUMIFS(PERSALDATA!$H$2:$H$20871,PERSALDATA!$A$2:$A$20871,WORKING!A75,PERSALDATA!$D$2:$D$20871,WORKING!B75,PERSALDATA!$E$2:$E$20871,WORKING!C75)</f>
        <v>12712537.59</v>
      </c>
    </row>
    <row r="76" spans="1:29" x14ac:dyDescent="0.25">
      <c r="A76" s="2">
        <f>Results!$D$3</f>
        <v>36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0.70648534264408291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4.9498525607850188E-2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4.9555250940886919E-2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2.7155164186402963E-3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7.2836598266620742E-2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9.1842319751315266E-2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1.1872617650219462E-2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2.9417424924227452E-4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8.8222118072964484E-3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2.9765788052148164E-3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3.1008638586307361E-3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7.3253513304225276E-2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7.0596996464590472E-2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6.9596996464590472E-2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6.7596996464590442E-2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1.3159709648148752E-2</v>
      </c>
      <c r="AB76" s="2">
        <f>SUMIFS(PERSALDATA!$G$2:$G$20871,PERSALDATA!$A$2:$A$20871,WORKING!A76,PERSALDATA!$D$2:$D$20871,WORKING!B76,PERSALDATA!$E$2:$E$20871,WORKING!C76,PERSALDATA!$F$2:$F$20871,"S&amp;W: BASIC SALARY (RES)")</f>
        <v>23</v>
      </c>
      <c r="AC76" s="2">
        <f>SUMIFS(PERSALDATA!$H$2:$H$20871,PERSALDATA!$A$2:$A$20871,WORKING!A76,PERSALDATA!$D$2:$D$20871,WORKING!B76,PERSALDATA!$E$2:$E$20871,WORKING!C76)</f>
        <v>8263503.709999999</v>
      </c>
    </row>
    <row r="77" spans="1:29" x14ac:dyDescent="0.25">
      <c r="A77" s="2">
        <f>Results!$D$3</f>
        <v>36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0.73204648863023036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5.0831876414496838E-2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3.2741275029843628E-2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6.8514599538242813E-4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4.2990565739874004E-2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8.9168051633711637E-2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9.8761799300571777E-3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2.4559363735394881E-4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1.2522968306907504E-2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1.7135982349894691E-2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1.0878623448944131E-2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8.772488833033819E-4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7.4113531018090095E-2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7.031744573579965E-2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6.9317445735799676E-2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6.7317445735799661E-2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1.386033848389392E-2</v>
      </c>
      <c r="AB77" s="2">
        <f>SUMIFS(PERSALDATA!$G$2:$G$20871,PERSALDATA!$A$2:$A$20871,WORKING!A77,PERSALDATA!$D$2:$D$20871,WORKING!B77,PERSALDATA!$E$2:$E$20871,WORKING!C77,PERSALDATA!$F$2:$F$20871,"S&amp;W: BASIC SALARY (RES)")</f>
        <v>56</v>
      </c>
      <c r="AC77" s="2">
        <f>SUMIFS(PERSALDATA!$H$2:$H$20871,PERSALDATA!$A$2:$A$20871,WORKING!A77,PERSALDATA!$D$2:$D$20871,WORKING!B77,PERSALDATA!$E$2:$E$20871,WORKING!C77)</f>
        <v>20249669.550000004</v>
      </c>
    </row>
    <row r="78" spans="1:29" x14ac:dyDescent="0.25">
      <c r="A78" s="2">
        <f>Results!$D$3</f>
        <v>36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0.71288844690780451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5.5899944334669917E-2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3.4357869818675391E-2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5.7304450451499725E-4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4.330494107490452E-2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9.2674956569152755E-2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1.2660661672205174E-2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1.9081058670077525E-4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2.6154903401354929E-2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2.0807771843634297E-2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4.8664928638262554E-4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7.3995071068829313E-2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7.0305995417936806E-2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6.9305995417936819E-2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6.7305995417936818E-2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1.3832195677795787E-2</v>
      </c>
      <c r="AB78" s="2">
        <f>SUMIFS(PERSALDATA!$G$2:$G$20871,PERSALDATA!$A$2:$A$20871,WORKING!A78,PERSALDATA!$D$2:$D$20871,WORKING!B78,PERSALDATA!$E$2:$E$20871,WORKING!C78,PERSALDATA!$F$2:$F$20871,"S&amp;W: BASIC SALARY (RES)")</f>
        <v>40</v>
      </c>
      <c r="AC78" s="2">
        <f>SUMIFS(PERSALDATA!$H$2:$H$20871,PERSALDATA!$A$2:$A$20871,WORKING!A78,PERSALDATA!$D$2:$D$20871,WORKING!B78,PERSALDATA!$E$2:$E$20871,WORKING!C78)</f>
        <v>17201299.240000002</v>
      </c>
    </row>
    <row r="79" spans="1:29" x14ac:dyDescent="0.25">
      <c r="A79" s="2">
        <f>Results!$D$3</f>
        <v>36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0.7273692516146264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5.7854297338308137E-2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2.9435446014318137E-2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3.6328019736086757E-2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9.45575807029823E-2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1.1661327700398976E-2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1.6425604986791952E-4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2.5114543325857091E-2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1.7515277517553902E-2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7.4271498379216996E-2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7.0250565835898116E-2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6.9250565835898101E-2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6.7250565835898113E-2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1.4011084172995902E-2</v>
      </c>
      <c r="AB79" s="2">
        <f>SUMIFS(PERSALDATA!$G$2:$G$20871,PERSALDATA!$A$2:$A$20871,WORKING!A79,PERSALDATA!$D$2:$D$20871,WORKING!B79,PERSALDATA!$E$2:$E$20871,WORKING!C79,PERSALDATA!$F$2:$F$20871,"S&amp;W: BASIC SALARY (RES)")</f>
        <v>26</v>
      </c>
      <c r="AC79" s="2">
        <f>SUMIFS(PERSALDATA!$H$2:$H$20871,PERSALDATA!$A$2:$A$20871,WORKING!A79,PERSALDATA!$D$2:$D$20871,WORKING!B79,PERSALDATA!$E$2:$E$20871,WORKING!C79)</f>
        <v>12138426.570000004</v>
      </c>
    </row>
    <row r="80" spans="1:29" x14ac:dyDescent="0.25">
      <c r="A80" s="2">
        <f>Results!$D$3</f>
        <v>36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0.70962966717417775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5.4356400066514952E-2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1.746027240126247E-2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4.1076311950316753E-4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2.3858134466652702E-2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8.0624403012084636E-2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9.9628160197460444E-3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1.3839025765394392E-4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2.0266821307335776E-2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6.6332961562456313E-2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1.653382843942499E-2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4.2554217318717554E-4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7.5007033180037166E-2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7.0183269292987169E-2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6.9183269292987168E-2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6.7183269292987166E-2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1.4378148043116462E-2</v>
      </c>
      <c r="AB80" s="2">
        <f>SUMIFS(PERSALDATA!$G$2:$G$20871,PERSALDATA!$A$2:$A$20871,WORKING!A80,PERSALDATA!$D$2:$D$20871,WORKING!B80,PERSALDATA!$E$2:$E$20871,WORKING!C80,PERSALDATA!$F$2:$F$20871,"S&amp;W: BASIC SALARY (RES)")</f>
        <v>67</v>
      </c>
      <c r="AC80" s="2">
        <f>SUMIFS(PERSALDATA!$H$2:$H$20871,PERSALDATA!$A$2:$A$20871,WORKING!A80,PERSALDATA!$D$2:$D$20871,WORKING!B80,PERSALDATA!$E$2:$E$20871,WORKING!C80)</f>
        <v>41745568.639999993</v>
      </c>
    </row>
    <row r="81" spans="1:29" x14ac:dyDescent="0.25">
      <c r="A81" s="2">
        <f>Results!$D$3</f>
        <v>36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0.65971800552718807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4.0841555655667598E-2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1.0111756941182343E-2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1.0876799919070537E-3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2.0107403801639973E-2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8.5763032178494028E-2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1.2187842068301593E-2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1.109271745800398E-4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9.6217605977204149E-3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0.10605169753690447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5.4398338526414486E-2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1.4545048681238966E-2</v>
      </c>
      <c r="AB81" s="2">
        <f>SUMIFS(PERSALDATA!$G$2:$G$20871,PERSALDATA!$A$2:$A$20871,WORKING!A81,PERSALDATA!$D$2:$D$20871,WORKING!B81,PERSALDATA!$E$2:$E$20871,WORKING!C81,PERSALDATA!$F$2:$F$20871,"S&amp;W: BASIC SALARY (RES)")</f>
        <v>5</v>
      </c>
      <c r="AC81" s="2">
        <f>SUMIFS(PERSALDATA!$H$2:$H$20871,PERSALDATA!$A$2:$A$20871,WORKING!A81,PERSALDATA!$D$2:$D$20871,WORKING!B81,PERSALDATA!$E$2:$E$20871,WORKING!C81)</f>
        <v>6778050.5799999991</v>
      </c>
    </row>
    <row r="82" spans="1:29" x14ac:dyDescent="0.25">
      <c r="A82" s="2">
        <f>Results!$D$3</f>
        <v>36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0.68056782081232603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4.7872504677891975E-2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1.2744062936957968E-2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1.6226914606552742E-4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1.9744510311346573E-2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8.8139116594489322E-2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1.5402453852122158E-2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9.1370817300405726E-5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2.0732586089482748E-2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9.8510097779676883E-2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1.5343197073628068E-2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6.9000990871241749E-4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1.4511300839015929E-2</v>
      </c>
      <c r="AB82" s="2">
        <f>SUMIFS(PERSALDATA!$G$2:$G$20871,PERSALDATA!$A$2:$A$20871,WORKING!A82,PERSALDATA!$D$2:$D$20871,WORKING!B82,PERSALDATA!$E$2:$E$20871,WORKING!C82,PERSALDATA!$F$2:$F$20871,"S&amp;W: BASIC SALARY (RES)")</f>
        <v>38</v>
      </c>
      <c r="AC82" s="2">
        <f>SUMIFS(PERSALDATA!$H$2:$H$20871,PERSALDATA!$A$2:$A$20871,WORKING!A82,PERSALDATA!$D$2:$D$20871,WORKING!B82,PERSALDATA!$E$2:$E$20871,WORKING!C82)</f>
        <v>34327043.279999994</v>
      </c>
    </row>
    <row r="83" spans="1:29" x14ac:dyDescent="0.25">
      <c r="A83" s="2">
        <f>Results!$D$3</f>
        <v>36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0.66797251971643934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3.9652153670611236E-2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9.9345071585797209E-3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1.8613032340756109E-2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8.3482104752317238E-2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4.0738799307785427E-3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7.5287842821730592E-5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5.0421495065056735E-3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0.14648560623433099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2.3203327451506515E-2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1.4654313953527183E-3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1.4570657589867633E-2</v>
      </c>
      <c r="AB83" s="2">
        <f>SUMIFS(PERSALDATA!$G$2:$G$20871,PERSALDATA!$A$2:$A$20871,WORKING!A83,PERSALDATA!$D$2:$D$20871,WORKING!B83,PERSALDATA!$E$2:$E$20871,WORKING!C83,PERSALDATA!$F$2:$F$20871,"S&amp;W: BASIC SALARY (RES)")</f>
        <v>19</v>
      </c>
      <c r="AC83" s="2">
        <f>SUMIFS(PERSALDATA!$H$2:$H$20871,PERSALDATA!$A$2:$A$20871,WORKING!A83,PERSALDATA!$D$2:$D$20871,WORKING!B83,PERSALDATA!$E$2:$E$20871,WORKING!C83)</f>
        <v>22224172.420000002</v>
      </c>
    </row>
    <row r="84" spans="1:29" x14ac:dyDescent="0.25">
      <c r="A84" s="2">
        <f>Results!$D$3</f>
        <v>36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0.64387181640247848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0.10231912028154613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1.0976892465459612E-2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1.1798967986570371E-2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8.3703220726521019E-2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4.3409037650440204E-5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0.14728657309977417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1.4657710957654795E-2</v>
      </c>
      <c r="AB84" s="2">
        <f>SUMIFS(PERSALDATA!$G$2:$G$20871,PERSALDATA!$A$2:$A$20871,WORKING!A84,PERSALDATA!$D$2:$D$20871,WORKING!B84,PERSALDATA!$E$2:$E$20871,WORKING!C84,PERSALDATA!$F$2:$F$20871,"S&amp;W: BASIC SALARY (RES)")</f>
        <v>7</v>
      </c>
      <c r="AC84" s="2">
        <f>SUMIFS(PERSALDATA!$H$2:$H$20871,PERSALDATA!$A$2:$A$20871,WORKING!A84,PERSALDATA!$D$2:$D$20871,WORKING!B84,PERSALDATA!$E$2:$E$20871,WORKING!C84)</f>
        <v>16115307.729999997</v>
      </c>
    </row>
    <row r="85" spans="1:29" x14ac:dyDescent="0.25">
      <c r="A85" s="2">
        <f>Results!$D$3</f>
        <v>36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0.67620968560463557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2.5827683397109232E-2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9.3339600129195457E-4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7.4214316062723301E-3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8.7907102859444086E-2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5.3337981097827452E-5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0.19485299197792061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6.794370572228388E-3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1.4873877516170067E-2</v>
      </c>
      <c r="AB85" s="2">
        <f>SUMIFS(PERSALDATA!$G$2:$G$20871,PERSALDATA!$A$2:$A$20871,WORKING!A85,PERSALDATA!$D$2:$D$20871,WORKING!B85,PERSALDATA!$E$2:$E$20871,WORKING!C85,PERSALDATA!$F$2:$F$20871,"S&amp;W: BASIC SALARY (RES)")</f>
        <v>3</v>
      </c>
      <c r="AC85" s="2">
        <f>SUMIFS(PERSALDATA!$H$2:$H$20871,PERSALDATA!$A$2:$A$20871,WORKING!A85,PERSALDATA!$D$2:$D$20871,WORKING!B85,PERSALDATA!$E$2:$E$20871,WORKING!C85)</f>
        <v>5356783.18</v>
      </c>
    </row>
    <row r="86" spans="1:29" x14ac:dyDescent="0.25">
      <c r="A86" s="2">
        <f>Results!$D$3</f>
        <v>36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36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36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36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36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36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36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36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36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36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36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36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36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36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36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36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36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36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36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36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36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36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36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36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36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36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36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36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36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36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36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36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36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36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36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36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36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36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36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36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36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36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36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36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36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36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36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36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36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36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36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36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36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36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36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36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36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36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36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36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36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36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36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36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36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36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36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36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36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36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36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36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36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36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36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36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36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36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36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36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36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36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36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36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36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36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36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36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36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36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36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36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36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36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36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36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36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36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36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36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36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36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36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36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36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36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36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36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36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36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36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36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36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36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36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36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36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36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36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36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36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36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36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36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36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36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36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36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36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36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36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36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36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36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36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36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36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36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36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36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36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36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36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36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36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36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36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36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36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36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36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36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36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36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36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36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36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36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36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36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36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36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36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36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36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36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36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36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36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36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36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36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36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36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36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36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36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36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36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36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36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36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36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36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36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36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36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36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36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36</v>
      </c>
      <c r="E3" s="74" t="str">
        <f>INDEX(MAPs!$I$7:$J$54,MATCH(Results!$D$3,MAPs!$I$7:$I$54,0),2)</f>
        <v>Water and Sanitation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1013.8222488038278</v>
      </c>
      <c r="N9" s="148">
        <f>IFERROR(SUMIFS('Employee Profile (2)'!C$4:C$50,'Employee Profile (2)'!$B$4:$B$50,Results!$D$3),"")</f>
        <v>0.28875598086124404</v>
      </c>
      <c r="O9" s="150" t="s">
        <v>620</v>
      </c>
      <c r="P9" s="143">
        <f>IFERROR(INDEX('Employee Profile (2)'!$AC$4:$AC$50,MATCH(Results!$D$3,'Employee Profile (2)'!$B$4:$B$50,0))*$Q9,"")</f>
        <v>2109.9598086124402</v>
      </c>
      <c r="Q9" s="148">
        <f>IFERROR(SUMIFS('Employee Profile (2)'!J$4:J$50,'Employee Profile (2)'!$B$4:$B$50,Results!$D$3),"")</f>
        <v>0.60095693779904302</v>
      </c>
      <c r="R9" s="150" t="s">
        <v>627</v>
      </c>
      <c r="S9" s="144">
        <f>IFERROR(INDEX('Employee Profile (2)'!$AC$4:$AC$50,MATCH(Results!$D$3,'Employee Profile (2)'!$B$4:$B$50,0))*$T9,"")</f>
        <v>125.99282296650718</v>
      </c>
      <c r="T9" s="147">
        <f>IFERROR(SUMIFS('Employee Profile (2)'!N$4:N$50,'Employee Profile (2)'!$B$4:$B$50,Results!$D$3),"")</f>
        <v>3.5885167464114832E-2</v>
      </c>
      <c r="U9" s="150" t="s">
        <v>632</v>
      </c>
      <c r="V9" s="144">
        <f>IFERROR(INDEX('Employee Profile (2)'!$AC$4:$AC$50,MATCH(Results!$D$3,'Employee Profile (2)'!$B$4:$B$50,0))*$W9,"")</f>
        <v>1499.3145933014353</v>
      </c>
      <c r="W9" s="147">
        <f>IFERROR(SUMIFS('Employee Profile (2)'!S$4:S$50,'Employee Profile (2)'!$B$4:$B$50,Results!$D$3),"")</f>
        <v>0.42703349282296649</v>
      </c>
      <c r="X9" s="150" t="s">
        <v>635</v>
      </c>
      <c r="Y9" s="144">
        <f>IFERROR(INDEX('Employee Profile (2)'!$AC$4:$AC$50,MATCH(Results!$D$3,'Employee Profile (2)'!$B$4:$B$50,0))*$Z9,"")</f>
        <v>2475.3389952153111</v>
      </c>
      <c r="Z9" s="147">
        <f>IFERROR(SUMIFS('Employee Profile (2)'!V$4:V$50,'Employee Profile (2)'!$B$4:$B$50,Results!$D$3),"")</f>
        <v>0.70502392344497611</v>
      </c>
      <c r="AA9" s="150" t="s">
        <v>675</v>
      </c>
      <c r="AB9" s="144">
        <f>IFERROR(SUMIFS('Employee Profile (2)'!$AD$4:$AD$50,'Employee Profile (2)'!$B$4:$B$50,Results!$D$3),"")</f>
        <v>1714</v>
      </c>
      <c r="AC9" s="147">
        <f>IFERROR(SUMIFS('Employee Profile (2)'!$AE$4:$AE$50,'Employee Profile (2)'!$B$4:$B$50,Results!$D$3),"")</f>
        <v>0.48818000569638281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15</v>
      </c>
      <c r="H10" s="158">
        <v>24</v>
      </c>
      <c r="I10" s="158">
        <v>26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1139.815071770335</v>
      </c>
      <c r="N10" s="148">
        <f>IFERROR(SUMIFS('Employee Profile (2)'!D$4:D$50,'Employee Profile (2)'!$B$4:$B$50,Results!$D$3),"")</f>
        <v>0.32464114832535884</v>
      </c>
      <c r="O10" s="150" t="s">
        <v>621</v>
      </c>
      <c r="P10" s="143">
        <f>IFERROR(INDEX('Employee Profile (2)'!$AC$4:$AC$50,MATCH(Results!$D$3,'Employee Profile (2)'!$B$4:$B$50,0))*$Q10,"")</f>
        <v>590.48636363636365</v>
      </c>
      <c r="Q10" s="148">
        <f>IFERROR(SUMIFS('Employee Profile (2)'!K$4:K$50,'Employee Profile (2)'!$B$4:$B$50,Results!$D$3),"")</f>
        <v>0.16818181818181818</v>
      </c>
      <c r="R10" s="150" t="s">
        <v>628</v>
      </c>
      <c r="S10" s="144">
        <f>IFERROR(INDEX('Employee Profile (2)'!$AC$4:$AC$50,MATCH(Results!$D$3,'Employee Profile (2)'!$B$4:$B$50,0))*$T10,"")</f>
        <v>656.84258373205739</v>
      </c>
      <c r="T10" s="147">
        <f>IFERROR(SUMIFS('Employee Profile (2)'!O$4:O$50,'Employee Profile (2)'!$B$4:$B$50,Results!$D$3),"")</f>
        <v>0.18708133971291865</v>
      </c>
      <c r="U10" s="150" t="s">
        <v>633</v>
      </c>
      <c r="V10" s="144">
        <f>IFERROR(INDEX('Employee Profile (2)'!$AC$4:$AC$50,MATCH(Results!$D$3,'Employee Profile (2)'!$B$4:$B$50,0))*$W10,"")</f>
        <v>1461.5167464114834</v>
      </c>
      <c r="W10" s="147">
        <f>IFERROR(SUMIFS('Employee Profile (2)'!T$4:T$50,'Employee Profile (2)'!$B$4:$B$50,Results!$D$3),"")</f>
        <v>0.41626794258373206</v>
      </c>
      <c r="X10" s="150" t="s">
        <v>636</v>
      </c>
      <c r="Y10" s="144">
        <f>IFERROR(INDEX('Employee Profile (2)'!$AC$4:$AC$50,MATCH(Results!$D$3,'Employee Profile (2)'!$B$4:$B$50,0))*$Z10,"")</f>
        <v>151.19138755980862</v>
      </c>
      <c r="Z10" s="147">
        <f>IFERROR(SUMIFS('Employee Profile (2)'!W$4:W$50,'Employee Profile (2)'!$B$4:$B$50,Results!$D$3),"")</f>
        <v>4.3062200956937802E-2</v>
      </c>
      <c r="AA10" s="150" t="s">
        <v>676</v>
      </c>
      <c r="AB10" s="144">
        <f>IFERROR(INDEX('Employee Profile (2)'!$AC$4:$AC$50,MATCH(Results!$D$3,'Employee Profile (2)'!$B$4:$B$50))-$AB$9,"")</f>
        <v>1797</v>
      </c>
      <c r="AC10" s="147">
        <f>IFERROR(100%-$AC$9,"")</f>
        <v>0.51181999430361724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37</v>
      </c>
      <c r="H11" s="158">
        <v>259</v>
      </c>
      <c r="I11" s="158">
        <v>60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362.01937799043066</v>
      </c>
      <c r="N11" s="148">
        <f>IFERROR(SUMIFS('Employee Profile (2)'!E$4:E$50,'Employee Profile (2)'!$B$4:$B$50,Results!$D$3),"")</f>
        <v>0.10311004784688996</v>
      </c>
      <c r="O11" s="150" t="s">
        <v>622</v>
      </c>
      <c r="P11" s="143">
        <f>IFERROR(INDEX('Employee Profile (2)'!$AC$4:$AC$50,MATCH(Results!$D$3,'Employee Profile (2)'!$B$4:$B$50,0))*$Q11,"")</f>
        <v>555.20837320574162</v>
      </c>
      <c r="Q11" s="148">
        <f>IFERROR(SUMIFS('Employee Profile (2)'!L$4:L$50,'Employee Profile (2)'!$B$4:$B$50,Results!$D$3),"")</f>
        <v>0.15813397129186602</v>
      </c>
      <c r="R11" s="150" t="s">
        <v>629</v>
      </c>
      <c r="S11" s="144">
        <f>IFERROR(INDEX('Employee Profile (2)'!$AC$4:$AC$50,MATCH(Results!$D$3,'Employee Profile (2)'!$B$4:$B$50,0))*$T11,"")</f>
        <v>1054.13995215311</v>
      </c>
      <c r="T11" s="147">
        <f>IFERROR(SUMIFS('Employee Profile (2)'!P$4:P$50,'Employee Profile (2)'!$B$4:$B$50,Results!$D$3),"")</f>
        <v>0.30023923444976075</v>
      </c>
      <c r="U11" s="150" t="s">
        <v>53</v>
      </c>
      <c r="V11" s="144">
        <f>IFERROR(INDEX('Employee Profile (2)'!$AC$4:$AC$50,MATCH(Results!$D$3,'Employee Profile (2)'!$B$4:$B$50,0))*$W11,"")</f>
        <v>550.16866028708137</v>
      </c>
      <c r="W11" s="147">
        <f>IFERROR(SUMIFS('Employee Profile (2)'!U$4:U$50,'Employee Profile (2)'!$B$4:$B$50,Results!$D$3),"")</f>
        <v>0.15669856459330145</v>
      </c>
      <c r="X11" s="150" t="s">
        <v>637</v>
      </c>
      <c r="Y11" s="144">
        <f>IFERROR(INDEX('Employee Profile (2)'!$AC$4:$AC$50,MATCH(Results!$D$3,'Employee Profile (2)'!$B$4:$B$50,0))*$Z11,"")</f>
        <v>52.07703349282297</v>
      </c>
      <c r="Z11" s="147">
        <f>IFERROR(SUMIFS('Employee Profile (2)'!X$4:X$50,'Employee Profile (2)'!$B$4:$B$50,Results!$D$3),"")</f>
        <v>1.4832535885167464E-2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7</v>
      </c>
      <c r="H12" s="158">
        <v>10</v>
      </c>
      <c r="I12" s="158">
        <v>20</v>
      </c>
      <c r="J12" s="158">
        <v>10</v>
      </c>
      <c r="L12" s="150" t="s">
        <v>659</v>
      </c>
      <c r="M12" s="143">
        <f>IFERROR(INDEX('Employee Profile (2)'!$AC$4:$AC$50,MATCH(Results!$D$3,'Employee Profile (2)'!$B$4:$B$50,0))*$N12,"")</f>
        <v>258.70526315789471</v>
      </c>
      <c r="N12" s="148">
        <f>IFERROR(SUMIFS('Employee Profile (2)'!F$4:F$50,'Employee Profile (2)'!$B$4:$B$50,Results!$D$3),"")</f>
        <v>7.3684210526315783E-2</v>
      </c>
      <c r="O12" s="150" t="s">
        <v>623</v>
      </c>
      <c r="P12" s="143">
        <f>IFERROR(INDEX('Employee Profile (2)'!$AC$4:$AC$50,MATCH(Results!$D$3,'Employee Profile (2)'!$B$4:$B$50,0))*$Q12,"")</f>
        <v>255.34545454545454</v>
      </c>
      <c r="Q12" s="148">
        <f>IFERROR(SUMIFS('Employee Profile (2)'!M$4:M$50,'Employee Profile (2)'!$B$4:$B$50,Results!$D$3),"")</f>
        <v>7.2727272727272724E-2</v>
      </c>
      <c r="R12" s="150" t="s">
        <v>630</v>
      </c>
      <c r="S12" s="144">
        <f>IFERROR(INDEX('Employee Profile (2)'!$AC$4:$AC$50,MATCH(Results!$D$3,'Employee Profile (2)'!$B$4:$B$50,0))*$T12,"")</f>
        <v>131.87248803827751</v>
      </c>
      <c r="T12" s="147">
        <f>IFERROR(SUMIFS('Employee Profile (2)'!Q$4:Q$50,'Employee Profile (2)'!$B$4:$B$50,Results!$D$3),"")</f>
        <v>3.7559808612440189E-2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282.22392344497609</v>
      </c>
      <c r="Z12" s="147">
        <f>IFERROR(SUMIFS('Employee Profile (2)'!Y$4:Y$50,'Employee Profile (2)'!$B$4:$B$50,Results!$D$3),"")</f>
        <v>8.0382775119617222E-2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21</v>
      </c>
      <c r="H13" s="158">
        <v>33</v>
      </c>
      <c r="I13" s="158">
        <v>30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186.46937799043064</v>
      </c>
      <c r="N13" s="148">
        <f>IFERROR(SUMIFS('Employee Profile (2)'!G$4:G$50,'Employee Profile (2)'!$B$4:$B$50,Results!$D$3),"")</f>
        <v>5.3110047846889955E-2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1542.1521531100477</v>
      </c>
      <c r="T13" s="147">
        <f>IFERROR(SUMIFS('Employee Profile (2)'!R$4:R$50,'Employee Profile (2)'!$B$4:$B$50,Results!$D$3),"")</f>
        <v>0.43923444976076553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550.16866028708137</v>
      </c>
      <c r="Z13" s="147">
        <f>IFERROR(SUMIFS('Employee Profile (2)'!Z$4:Z$50,'Employee Profile (2)'!$B$4:$B$50,Results!$D$3),"")</f>
        <v>0.15669856459330145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3.3598086124401916</v>
      </c>
      <c r="N14" s="148">
        <f>IFERROR(SUMIFS('Employee Profile (2)'!H$4:H$50,'Employee Profile (2)'!$B$4:$B$50,Results!$D$3),"")</f>
        <v>9.5693779904306223E-4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80</v>
      </c>
      <c r="H15" s="112">
        <f t="shared" ref="H15:J15" si="0">SUM(H9:H14)</f>
        <v>326</v>
      </c>
      <c r="I15" s="112">
        <f t="shared" si="0"/>
        <v>136</v>
      </c>
      <c r="J15" s="112">
        <f t="shared" si="0"/>
        <v>10</v>
      </c>
      <c r="L15" s="150" t="s">
        <v>53</v>
      </c>
      <c r="M15" s="143">
        <f>IFERROR(INDEX('Employee Profile (2)'!$AC$4:$AC$50,MATCH(Results!$D$3,'Employee Profile (2)'!$B$4:$B$50,0))*$N15,"")</f>
        <v>546.80885167464112</v>
      </c>
      <c r="N15" s="148">
        <f>IFERROR(SUMIFS('Employee Profile (2)'!I$4:I$50,'Employee Profile (2)'!$B$4:$B$50,Results!$D$3),"")</f>
        <v>0.15574162679425838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80</v>
      </c>
      <c r="H16" s="82">
        <f>SUMIFS($W$64:$W$509,$C$64:$C$509,"Total")</f>
        <v>326</v>
      </c>
      <c r="I16" s="82">
        <f>SUMIFS($AE$64:$AE$509,$C$64:$C$509,"Total")</f>
        <v>136</v>
      </c>
      <c r="J16" s="82">
        <f>SUMIFS($AM$64:$AM$509,$C$64:$C$509,"Total")</f>
        <v>10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1717</v>
      </c>
      <c r="G29" s="87">
        <f t="shared" ref="G29:G44" si="4">SUMIFS($K$64:$K$509,$A$64:$A$509,B29,$C$64:$C$509,"Total")</f>
        <v>369.45103569015725</v>
      </c>
      <c r="H29" s="83">
        <f t="shared" ref="H29:H44" si="5">SUMIFS($J$64:$J$509,$A$64:$A$509,B29,$C$64:$C$509,"Total")</f>
        <v>634347.42827999999</v>
      </c>
      <c r="I29" s="21">
        <f t="shared" ref="I29:I44" si="6">-SUMIFS($O$64:$O$509,$A$64:$A$509,$B29,$C$64:$C$509,"Total")+SUMIFS($N$64:$N$509,$A$64:$A$509,$B29,$C$64:$C$509,"Total")</f>
        <v>196</v>
      </c>
      <c r="J29" s="88">
        <f t="shared" ref="J29:J44" si="7">SUMIFS($P$64:$P$509,$A$64:$A$509,$B29,$C$64:$C$509,"Total")</f>
        <v>1913</v>
      </c>
      <c r="K29" s="88">
        <f t="shared" ref="K29:K44" si="8">SUMIFS($M$64:$M$509,$A$64:$A$509,$B29,$C$64:$C$509,"Total")</f>
        <v>411.61062356922059</v>
      </c>
      <c r="L29" s="88">
        <f t="shared" ref="L29:L44" si="9">SUMIFS($R$64:$R$509,$A$64:$A$509,$B29,$C$64:$C$509,"Total")+SUMIFS($Q$64:$Q$509,$A$64:$A$509,$B29,$C$64:$C$509,"Total")</f>
        <v>99945.609392837767</v>
      </c>
      <c r="M29" s="88">
        <f t="shared" ref="M29:M44" si="10">SUMIFS($S$64:$S$509,$A$64:$A$509,$B29,$C$64:$C$509,"Total")</f>
        <v>787411.12288791896</v>
      </c>
      <c r="N29" s="88">
        <f t="shared" ref="N29:N44" si="11">SUMIFS($S$64:$S$509,$A$64:$A$509,$B29,$C$64:$C$509,"Compensation Budget")</f>
        <v>749569</v>
      </c>
      <c r="O29" s="89">
        <f t="shared" ref="O29:O44" si="12">SUMIFS($S$64:$S$509,$A$64:$A$509,$B29,$C$64:$C$509,"Under/(Over)")</f>
        <v>-37842.122887918958</v>
      </c>
      <c r="P29" s="21">
        <f t="shared" ref="P29:P44" si="13">-SUMIFS($W$64:$W$509,$A$64:$A$509,$B29,$C$64:$C$509,"Total")+SUMIFS($V$64:$V$509,$A$64:$A$509,$B29,$C$64:$C$509,"Total")</f>
        <v>-230</v>
      </c>
      <c r="Q29" s="88">
        <f t="shared" ref="Q29:Q44" si="14">SUMIFS($X$64:$X$509,$A$64:$A$509,$B29,$C$64:$C$509,"Total")</f>
        <v>1683</v>
      </c>
      <c r="R29" s="88">
        <f t="shared" ref="R29:R44" si="15">SUMIFS($U$64:$U$509,$A$64:$A$509,$B29,$C$64:$C$509,"Total")</f>
        <v>450.28177006451062</v>
      </c>
      <c r="S29" s="88">
        <f t="shared" ref="S29:S44" si="16">SUMIFS($Z$64:$Z$509,$A$64:$A$509,$B29,$C$64:$C$509,"Total")+SUMIFS($Y$64:$Y$509,$A$64:$A$509,$B29,$C$64:$C$509,"Total")</f>
        <v>-95525.962444644218</v>
      </c>
      <c r="T29" s="88">
        <f t="shared" ref="T29:T44" si="17">SUMIFS($AA$64:$AA$509,$A$64:$A$509,$B29,$C$64:$C$509,"Total")</f>
        <v>757824.21901857143</v>
      </c>
      <c r="U29" s="88">
        <f t="shared" ref="U29:U44" si="18">SUMIFS($AA$64:$AA$509,$A$64:$A$509,$B29,$C$64:$C$509,"Compensation Budget")</f>
        <v>787194</v>
      </c>
      <c r="V29" s="89">
        <f t="shared" ref="V29:V44" si="19">SUMIFS($AA$64:$AA$509,$A$64:$A$509,$B29,$C$64:$C$509,"Under/(Over)")</f>
        <v>29369.780981428572</v>
      </c>
      <c r="W29" s="21">
        <f t="shared" ref="W29:W44" si="20">-SUMIFS($AE$64:$AE$509,$A$64:$A$509,$B29,$C$64:$C$509,"Total")+SUMIFS($AD$64:$AD$509,$A$64:$A$509,$B29,$C$64:$C$509,"Total")</f>
        <v>-121</v>
      </c>
      <c r="X29" s="88">
        <f t="shared" ref="X29:X44" si="21">SUMIFS($AF$64:$AF$509,$A$64:$A$509,$B29,$C$64:$C$509,"Total")</f>
        <v>1562</v>
      </c>
      <c r="Y29" s="88">
        <f t="shared" ref="Y29:Y44" si="22">SUMIFS($AC$64:$AC$509,$A$64:$A$509,$B29,$C$64:$C$509,"Total")</f>
        <v>484.96145538282212</v>
      </c>
      <c r="Z29" s="88">
        <f t="shared" ref="Z29:Z44" si="23">SUMIFS($AH$64:$AH$509,$A$64:$A$509,$B29,$C$64:$C$509,"Total")+SUMIFS($AG$64:$AG$509,$A$64:$A$509,$B29,$C$64:$C$509,"Total")</f>
        <v>-62947.977569849761</v>
      </c>
      <c r="AA29" s="88">
        <f t="shared" ref="AA29:AA44" si="24">SUMIFS($AI$64:$AI$509,$A$64:$A$509,$B29,$C$64:$C$509,"Total")</f>
        <v>757509.79330796818</v>
      </c>
      <c r="AB29" s="88">
        <f t="shared" ref="AB29:AB44" si="25">SUMIFS($AI$64:$AI$509,$A$64:$A$509,$B29,$C$64:$C$509,"Compensation Budget")</f>
        <v>835207</v>
      </c>
      <c r="AC29" s="89">
        <f t="shared" ref="AC29:AC44" si="26">SUMIFS($AI$64:$AI$509,$A$64:$A$509,$B29,$C$64:$C$509,"Under/(Over)")</f>
        <v>77697.206692031818</v>
      </c>
      <c r="AD29" s="21">
        <f t="shared" ref="AD29:AD44" si="27">-SUMIFS($AM$64:$AM$509,$A$64:$A$509,$B29,$C$64:$C$509,"Total")+SUMIFS($AL$64:$AL$509,$A$64:$A$509,$B29,$C$64:$C$509,"Total")</f>
        <v>-10</v>
      </c>
      <c r="AE29" s="88">
        <f t="shared" ref="AE29:AE44" si="28">SUMIFS($AN$64:$AN$509,$A$64:$A$509,$B29,$C$64:$C$509,"Total")</f>
        <v>1552</v>
      </c>
      <c r="AF29" s="88">
        <f t="shared" ref="AF29:AF44" si="29">SUMIFS($AK$64:$AK$509,$A$64:$A$509,$B29,$C$64:$C$509,"Total")</f>
        <v>524.62266468886446</v>
      </c>
      <c r="AG29" s="88">
        <f t="shared" ref="AG29:AG44" si="30">SUMIFS($AP$64:$AP$509,$A$64:$A$509,$B29,$C$64:$C$509,"Total")+SUMIFS($AO$64:$AO$509,$A$64:$A$509,$B29,$C$64:$C$509,"Total")</f>
        <v>-4295.5931881921906</v>
      </c>
      <c r="AH29" s="88">
        <f t="shared" ref="AH29:AH44" si="31">SUMIFS($AQ$64:$AQ$509,$A$64:$A$509,$B29,$C$64:$C$509,"Total")</f>
        <v>814214.3755971177</v>
      </c>
      <c r="AI29" s="88">
        <f t="shared" ref="AI29:AI44" si="32">SUMIFS($AQ$64:$AQ$509,$A$64:$A$509,$B29,$C$64:$C$509,"Compensation Budget")</f>
        <v>898682.73200000008</v>
      </c>
      <c r="AJ29" s="89">
        <f t="shared" ref="AJ29:AJ44" si="33">SUMIFS($AQ$64:$AQ$509,$A$64:$A$509,$B29,$C$64:$C$509,"Under/(Over)")</f>
        <v>84468.356402882375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Water Planning and Information Management</v>
      </c>
      <c r="D30" s="222">
        <f t="shared" si="2"/>
        <v>0</v>
      </c>
      <c r="E30" s="223">
        <f t="shared" si="2"/>
        <v>0</v>
      </c>
      <c r="F30" s="80">
        <f t="shared" si="3"/>
        <v>877</v>
      </c>
      <c r="G30" s="155">
        <f t="shared" si="4"/>
        <v>313.37730912200686</v>
      </c>
      <c r="H30" s="155">
        <f t="shared" si="5"/>
        <v>274831.90010000003</v>
      </c>
      <c r="I30" s="23">
        <f t="shared" si="6"/>
        <v>103</v>
      </c>
      <c r="J30" s="22">
        <f t="shared" si="7"/>
        <v>980</v>
      </c>
      <c r="K30" s="22">
        <f t="shared" si="8"/>
        <v>342.80923798883697</v>
      </c>
      <c r="L30" s="22">
        <f t="shared" si="9"/>
        <v>38402.944636789907</v>
      </c>
      <c r="M30" s="22">
        <f t="shared" si="10"/>
        <v>335953.05322906026</v>
      </c>
      <c r="N30" s="22">
        <f t="shared" si="11"/>
        <v>412460</v>
      </c>
      <c r="O30" s="91">
        <f t="shared" si="12"/>
        <v>76506.946770939743</v>
      </c>
      <c r="P30" s="23">
        <f t="shared" si="13"/>
        <v>-72</v>
      </c>
      <c r="Q30" s="22">
        <f t="shared" si="14"/>
        <v>908</v>
      </c>
      <c r="R30" s="22">
        <f t="shared" si="15"/>
        <v>385.02043283037568</v>
      </c>
      <c r="S30" s="22">
        <f t="shared" si="16"/>
        <v>-14425.784603428649</v>
      </c>
      <c r="T30" s="22">
        <f t="shared" si="17"/>
        <v>349598.55300998111</v>
      </c>
      <c r="U30" s="22">
        <f t="shared" si="18"/>
        <v>440232</v>
      </c>
      <c r="V30" s="91">
        <f t="shared" si="19"/>
        <v>90633.446990018885</v>
      </c>
      <c r="W30" s="23">
        <f t="shared" si="20"/>
        <v>-14</v>
      </c>
      <c r="X30" s="22">
        <f t="shared" si="21"/>
        <v>894</v>
      </c>
      <c r="Y30" s="22">
        <f t="shared" si="22"/>
        <v>418.47733512752774</v>
      </c>
      <c r="Z30" s="22">
        <f t="shared" si="23"/>
        <v>-4323.7604709666966</v>
      </c>
      <c r="AA30" s="22">
        <f t="shared" si="24"/>
        <v>374118.7376040098</v>
      </c>
      <c r="AB30" s="22">
        <f t="shared" si="25"/>
        <v>460617</v>
      </c>
      <c r="AC30" s="91">
        <f t="shared" si="26"/>
        <v>86498.262395990198</v>
      </c>
      <c r="AD30" s="23">
        <f t="shared" si="27"/>
        <v>0</v>
      </c>
      <c r="AE30" s="22">
        <f t="shared" si="28"/>
        <v>894</v>
      </c>
      <c r="AF30" s="22">
        <f t="shared" si="29"/>
        <v>452.15307736572095</v>
      </c>
      <c r="AG30" s="22">
        <f t="shared" si="30"/>
        <v>0</v>
      </c>
      <c r="AH30" s="22">
        <f t="shared" si="31"/>
        <v>404224.85116495454</v>
      </c>
      <c r="AI30" s="22">
        <f t="shared" si="32"/>
        <v>495623.89200000005</v>
      </c>
      <c r="AJ30" s="91">
        <f t="shared" si="33"/>
        <v>91399.040835045511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Water Infrastructure Development</v>
      </c>
      <c r="D31" s="222">
        <f t="shared" si="2"/>
        <v>0</v>
      </c>
      <c r="E31" s="223">
        <f t="shared" si="2"/>
        <v>0</v>
      </c>
      <c r="F31" s="80">
        <f t="shared" si="3"/>
        <v>589</v>
      </c>
      <c r="G31" s="155">
        <f t="shared" si="4"/>
        <v>403.50886283531406</v>
      </c>
      <c r="H31" s="155">
        <f t="shared" si="5"/>
        <v>237666.72020999997</v>
      </c>
      <c r="I31" s="23">
        <f t="shared" si="6"/>
        <v>149</v>
      </c>
      <c r="J31" s="22">
        <f t="shared" si="7"/>
        <v>738</v>
      </c>
      <c r="K31" s="22">
        <f t="shared" si="8"/>
        <v>424.31246835295303</v>
      </c>
      <c r="L31" s="22">
        <f t="shared" si="9"/>
        <v>57948.906202643586</v>
      </c>
      <c r="M31" s="22">
        <f t="shared" si="10"/>
        <v>313142.60164447932</v>
      </c>
      <c r="N31" s="22">
        <f t="shared" si="11"/>
        <v>125334.00000000003</v>
      </c>
      <c r="O31" s="91">
        <f t="shared" si="12"/>
        <v>-187808.60164447929</v>
      </c>
      <c r="P31" s="23">
        <f t="shared" si="13"/>
        <v>-1</v>
      </c>
      <c r="Q31" s="22">
        <f t="shared" si="14"/>
        <v>737</v>
      </c>
      <c r="R31" s="22">
        <f t="shared" si="15"/>
        <v>460.24477703754735</v>
      </c>
      <c r="S31" s="22">
        <f t="shared" si="16"/>
        <v>-213.80955806951928</v>
      </c>
      <c r="T31" s="22">
        <f t="shared" si="17"/>
        <v>339200.40067667241</v>
      </c>
      <c r="U31" s="22">
        <f t="shared" si="18"/>
        <v>131181</v>
      </c>
      <c r="V31" s="91">
        <f t="shared" si="19"/>
        <v>-208019.40067667241</v>
      </c>
      <c r="W31" s="23">
        <f t="shared" si="20"/>
        <v>-1</v>
      </c>
      <c r="X31" s="22">
        <f t="shared" si="21"/>
        <v>736</v>
      </c>
      <c r="Y31" s="22">
        <f t="shared" si="22"/>
        <v>498.75828707955128</v>
      </c>
      <c r="Z31" s="22">
        <f t="shared" si="23"/>
        <v>-231.53831003436886</v>
      </c>
      <c r="AA31" s="22">
        <f t="shared" si="24"/>
        <v>367086.09929054976</v>
      </c>
      <c r="AB31" s="22">
        <f t="shared" si="25"/>
        <v>138903</v>
      </c>
      <c r="AC31" s="91">
        <f t="shared" si="26"/>
        <v>-228183.09929054976</v>
      </c>
      <c r="AD31" s="23">
        <f t="shared" si="27"/>
        <v>0</v>
      </c>
      <c r="AE31" s="22">
        <f t="shared" si="28"/>
        <v>736</v>
      </c>
      <c r="AF31" s="22">
        <f t="shared" si="29"/>
        <v>539.09521288122971</v>
      </c>
      <c r="AG31" s="22">
        <f t="shared" si="30"/>
        <v>0</v>
      </c>
      <c r="AH31" s="22">
        <f t="shared" si="31"/>
        <v>396774.07668058504</v>
      </c>
      <c r="AI31" s="22">
        <f t="shared" si="32"/>
        <v>149459.628</v>
      </c>
      <c r="AJ31" s="91">
        <f t="shared" si="33"/>
        <v>-247314.44868058505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Water and Sanitation Services</v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132136.03530999998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175053</v>
      </c>
      <c r="O32" s="91">
        <f t="shared" si="12"/>
        <v>175053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171149</v>
      </c>
      <c r="V32" s="91">
        <f t="shared" si="19"/>
        <v>171149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180234</v>
      </c>
      <c r="AC32" s="91">
        <f t="shared" si="26"/>
        <v>180234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193931.78400000001</v>
      </c>
      <c r="AJ32" s="91">
        <f t="shared" si="33"/>
        <v>193931.78400000001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Water Sector Regulation</v>
      </c>
      <c r="D33" s="222">
        <f t="shared" si="2"/>
        <v>0</v>
      </c>
      <c r="E33" s="223">
        <f t="shared" si="2"/>
        <v>0</v>
      </c>
      <c r="F33" s="80">
        <f t="shared" si="3"/>
        <v>335</v>
      </c>
      <c r="G33" s="155">
        <f t="shared" si="4"/>
        <v>606.29283877611931</v>
      </c>
      <c r="H33" s="155">
        <f t="shared" si="5"/>
        <v>203108.10098999998</v>
      </c>
      <c r="I33" s="23">
        <f t="shared" si="6"/>
        <v>-14</v>
      </c>
      <c r="J33" s="22">
        <f t="shared" si="7"/>
        <v>321</v>
      </c>
      <c r="K33" s="22">
        <f t="shared" si="8"/>
        <v>636.79217094974922</v>
      </c>
      <c r="L33" s="22">
        <f t="shared" si="9"/>
        <v>-8611.3862995797317</v>
      </c>
      <c r="M33" s="22">
        <f t="shared" si="10"/>
        <v>204410.28687486949</v>
      </c>
      <c r="N33" s="22">
        <f t="shared" si="11"/>
        <v>204801</v>
      </c>
      <c r="O33" s="91">
        <f t="shared" si="12"/>
        <v>390.71312513051089</v>
      </c>
      <c r="P33" s="23">
        <f t="shared" si="13"/>
        <v>-23</v>
      </c>
      <c r="Q33" s="22">
        <f t="shared" si="14"/>
        <v>298</v>
      </c>
      <c r="R33" s="22">
        <f t="shared" si="15"/>
        <v>700.40539911344024</v>
      </c>
      <c r="S33" s="22">
        <f t="shared" si="16"/>
        <v>-12703.013283657689</v>
      </c>
      <c r="T33" s="22">
        <f t="shared" si="17"/>
        <v>208720.80893580519</v>
      </c>
      <c r="U33" s="22">
        <f t="shared" si="18"/>
        <v>140472</v>
      </c>
      <c r="V33" s="91">
        <f t="shared" si="19"/>
        <v>-68248.808935805195</v>
      </c>
      <c r="W33" s="23">
        <f t="shared" si="20"/>
        <v>0</v>
      </c>
      <c r="X33" s="22">
        <f t="shared" si="21"/>
        <v>298</v>
      </c>
      <c r="Y33" s="22">
        <f t="shared" si="22"/>
        <v>758.01403761877054</v>
      </c>
      <c r="Z33" s="22">
        <f t="shared" si="23"/>
        <v>0</v>
      </c>
      <c r="AA33" s="22">
        <f t="shared" si="24"/>
        <v>225888.18321039362</v>
      </c>
      <c r="AB33" s="22">
        <f t="shared" si="25"/>
        <v>124740</v>
      </c>
      <c r="AC33" s="91">
        <f t="shared" si="26"/>
        <v>-101148.18321039362</v>
      </c>
      <c r="AD33" s="23">
        <f t="shared" si="27"/>
        <v>0</v>
      </c>
      <c r="AE33" s="22">
        <f t="shared" si="28"/>
        <v>298</v>
      </c>
      <c r="AF33" s="22">
        <f t="shared" si="29"/>
        <v>818.83473238347108</v>
      </c>
      <c r="AG33" s="22">
        <f t="shared" si="30"/>
        <v>0</v>
      </c>
      <c r="AH33" s="22">
        <f t="shared" si="31"/>
        <v>244012.75025027437</v>
      </c>
      <c r="AI33" s="22">
        <f t="shared" si="32"/>
        <v>134220.24000000002</v>
      </c>
      <c r="AJ33" s="91">
        <f t="shared" si="33"/>
        <v>-109792.51025027435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3518</v>
      </c>
      <c r="G45" s="92">
        <f>IFERROR(H45/F45,0)</f>
        <v>421.28771600056848</v>
      </c>
      <c r="H45" s="92">
        <f>SUM(H29:H38)</f>
        <v>1482090.1848899999</v>
      </c>
      <c r="I45" s="25">
        <f>SUM(I29:I38)</f>
        <v>434</v>
      </c>
      <c r="J45" s="92">
        <f>SUM(J29:J38)</f>
        <v>3952</v>
      </c>
      <c r="K45" s="92">
        <f>IFERROR(M45/J45,0)</f>
        <v>415.21180785332183</v>
      </c>
      <c r="L45" s="92">
        <f t="shared" ref="L45:Q45" si="34">SUM(L29:L38)</f>
        <v>187686.07393269154</v>
      </c>
      <c r="M45" s="92">
        <f t="shared" si="34"/>
        <v>1640917.0646363278</v>
      </c>
      <c r="N45" s="92">
        <f>INDEX('ENE17'!$C$2:$C$48,MATCH(Results!$D$3,'ENE17'!$A$2:$A$48,0))</f>
        <v>1540217</v>
      </c>
      <c r="O45" s="129">
        <f>N45-M45</f>
        <v>-100700.06463632779</v>
      </c>
      <c r="P45" s="25">
        <f t="shared" si="34"/>
        <v>-326</v>
      </c>
      <c r="Q45" s="24">
        <f t="shared" si="34"/>
        <v>3626</v>
      </c>
      <c r="R45" s="92">
        <f>IFERROR(T45/Q45,0)</f>
        <v>456.52067888610873</v>
      </c>
      <c r="S45" s="24">
        <f>SUM(S29:S38)</f>
        <v>-122868.56988980007</v>
      </c>
      <c r="T45" s="24">
        <f>SUM(T29:T38)</f>
        <v>1655343.9816410302</v>
      </c>
      <c r="U45" s="207">
        <f>INDEX('ENE17'!$D$2:$D$48,MATCH(Results!$D$3,'ENE17'!$A$2:$A$48,0))</f>
        <v>1651856</v>
      </c>
      <c r="V45" s="24">
        <f>U45-T45</f>
        <v>-3487.9816410301719</v>
      </c>
      <c r="W45" s="25">
        <f t="shared" ref="W45:X45" si="35">SUM(W29:W38)</f>
        <v>-136</v>
      </c>
      <c r="X45" s="24">
        <f t="shared" si="35"/>
        <v>3490</v>
      </c>
      <c r="Y45" s="92">
        <f>IFERROR(AA45/X45,0)</f>
        <v>494.15553392920378</v>
      </c>
      <c r="Z45" s="24">
        <f t="shared" ref="Z45:AA45" si="36">SUM(Z29:Z38)</f>
        <v>-67503.276350850836</v>
      </c>
      <c r="AA45" s="24">
        <f t="shared" si="36"/>
        <v>1724602.8134129213</v>
      </c>
      <c r="AB45" s="207">
        <f>INDEX('ENE17'!$E$2:$E$48,MATCH(Results!$D$3,'ENE17'!$A$2:$A$48,0))</f>
        <v>1720205</v>
      </c>
      <c r="AC45" s="24">
        <f>AB45-AA45</f>
        <v>-4397.8134129212704</v>
      </c>
      <c r="AD45" s="25">
        <f t="shared" ref="AD45:AE45" si="37">SUM(AD29:AD38)</f>
        <v>-10</v>
      </c>
      <c r="AE45" s="24">
        <f t="shared" si="37"/>
        <v>3480</v>
      </c>
      <c r="AF45" s="92">
        <f>IFERROR(AH45/AE45,0)</f>
        <v>534.26036025658948</v>
      </c>
      <c r="AG45" s="24">
        <f t="shared" ref="AG45:AH45" si="38">SUM(AG29:AG38)</f>
        <v>-4295.5931881921906</v>
      </c>
      <c r="AH45" s="24">
        <f t="shared" si="38"/>
        <v>1859226.0536929315</v>
      </c>
      <c r="AI45" s="207">
        <f>INDEX('ENE17'!$F$2:$F$48,MATCH(Results!$D$3,'ENE17'!$A$2:$A$48,0))</f>
        <v>1851343</v>
      </c>
      <c r="AJ45" s="24">
        <f>AI45-AH45</f>
        <v>-7883.0536929315422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1431</v>
      </c>
      <c r="G51" s="193">
        <f>IFERROR(H51/F51,"")</f>
        <v>209.29840666666669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299506.01994000003</v>
      </c>
      <c r="I51" s="97">
        <f>SUMIFS($N$64:$N$509,$B$64:$B$509,$B51)-SUMIFS($O$64:$O$509,$B$64:$B$509,$B51)</f>
        <v>174</v>
      </c>
      <c r="J51" s="80">
        <f>SUMIFS($P$64:$P$509,$B$64:$B$509,$B51)</f>
        <v>1605</v>
      </c>
      <c r="K51" s="80">
        <f>IFERROR(M51/J51,0)</f>
        <v>211.90696050936108</v>
      </c>
      <c r="L51" s="80">
        <f>SUMIFS($R$64:$R$509,$B$64:$B$509,$B51)+SUMIFS($Q$64:$Q$509,$B$64:$B$509,$B51)</f>
        <v>33455.70918730893</v>
      </c>
      <c r="M51" s="98">
        <f>SUMIFS($S$64:$S$509,$B$64:$B$509,$B51)</f>
        <v>340110.67161752452</v>
      </c>
      <c r="N51" s="80">
        <f>SUMIFS($V$64:$V$509,$B$64:$B$509,$B51)-SUMIFS($W$64:$W$509,$B$64:$B$509,$B51)</f>
        <v>-159</v>
      </c>
      <c r="O51" s="80">
        <f>SUMIFS($X$64:$X$509,$B$64:$B$509,$B51)</f>
        <v>1446</v>
      </c>
      <c r="P51" s="80">
        <f>IFERROR(R51/O51,0)</f>
        <v>230.63978146054791</v>
      </c>
      <c r="Q51" s="80">
        <f>SUMIFS($Z$64:$Z$509,$B$64:$B$509,$B51)+SUMIFS($Y$64:$Y$509,$B$64:$B$509,$B51)</f>
        <v>-35358.913743607387</v>
      </c>
      <c r="R51" s="80">
        <f>SUMIFS($AA$64:$AA$509,$B$64:$B$509,$B51)</f>
        <v>333505.12399195228</v>
      </c>
      <c r="S51" s="97">
        <f>SUMIFS($AD$64:$AD$509,$B$64:$B$509,$B51)-SUMIFS($AE$64:$AE$509,$B$64:$B$509,$B51)</f>
        <v>-41</v>
      </c>
      <c r="T51" s="80">
        <f>SUMIFS($AF$64:$AF$509,$B$64:$B$509,$B51)</f>
        <v>1405</v>
      </c>
      <c r="U51" s="80">
        <f>IFERROR(W51/T51,0)</f>
        <v>248.67420425226493</v>
      </c>
      <c r="V51" s="80">
        <f>SUMIFS($AH$64:$AH$509,$B$64:$B$509,$B51)+SUMIFS($AG$64:$AG$509,$B$64:$B$509,$B51)</f>
        <v>-11972.440359142169</v>
      </c>
      <c r="W51" s="98">
        <f>SUMIFS($AI$64:$AI$509,$B$64:$B$509,$B51)</f>
        <v>349387.25697443221</v>
      </c>
      <c r="X51" s="80">
        <f>SUMIFS($AL$64:$AL$509,$B$64:$B$509,$B51)-SUMIFS($AM$64:$AM$509,$B$64:$B$509,$B51)</f>
        <v>-7</v>
      </c>
      <c r="Y51" s="80">
        <f>SUMIFS($AN$64:$AN$509,$B$64:$B$509,$B51)</f>
        <v>1398</v>
      </c>
      <c r="Z51" s="80">
        <f>IFERROR(AB51/Y51,0)</f>
        <v>269.30339731349085</v>
      </c>
      <c r="AA51" s="80">
        <f>SUMIFS($AP$64:$AP$509,$B$64:$B$509,$B51)+SUMIFS($AO$64:$AO$509,$B$64:$B$509,$B51)</f>
        <v>-1370.2091688793876</v>
      </c>
      <c r="AB51" s="98">
        <f>SUMIFS($AQ$64:$AQ$509,$B$64:$B$509,$B51)</f>
        <v>376486.14944426017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1415</v>
      </c>
      <c r="G52" s="192">
        <f t="shared" ref="G52:G55" si="40">IFERROR(H52/F52,"")</f>
        <v>472.2775163250883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668272.68559999997</v>
      </c>
      <c r="I52" s="97">
        <f>SUMIFS($N$64:$N$509,$B$64:$B$509,$B52)-SUMIFS($O$64:$O$509,$B$64:$B$509,$B52)</f>
        <v>146</v>
      </c>
      <c r="J52" s="80">
        <f>SUMIFS($P$64:$P$509,$B$64:$B$509,$B52)</f>
        <v>1561</v>
      </c>
      <c r="K52" s="80">
        <f t="shared" ref="K52:K56" si="41">IFERROR(M52/J52,0)</f>
        <v>460.39456998378</v>
      </c>
      <c r="L52" s="80">
        <f>SUMIFS($R$64:$R$509,$B$64:$B$509,$B52)+SUMIFS($Q$64:$Q$509,$B$64:$B$509,$B52)</f>
        <v>66624.820055663498</v>
      </c>
      <c r="M52" s="98">
        <f>SUMIFS($S$64:$S$509,$B$64:$B$509,$B52)</f>
        <v>718675.92374468059</v>
      </c>
      <c r="N52" s="80">
        <f>SUMIFS($V$64:$V$509,$B$64:$B$509,$B52)-SUMIFS($W$64:$W$509,$B$64:$B$509,$B52)</f>
        <v>-100</v>
      </c>
      <c r="O52" s="80">
        <f>SUMIFS($X$64:$X$509,$B$64:$B$509,$B52)</f>
        <v>1461</v>
      </c>
      <c r="P52" s="80">
        <f t="shared" ref="P52:P55" si="42">IFERROR(R52/O52,0)</f>
        <v>502.3910073086293</v>
      </c>
      <c r="Q52" s="80">
        <f>SUMIFS($Z$64:$Z$509,$B$64:$B$509,$B52)+SUMIFS($Y$64:$Y$509,$B$64:$B$509,$B52)</f>
        <v>-45986.459659223961</v>
      </c>
      <c r="R52" s="80">
        <f>SUMIFS($AA$64:$AA$509,$B$64:$B$509,$B52)</f>
        <v>733993.26167790743</v>
      </c>
      <c r="S52" s="97">
        <f>SUMIFS($AD$64:$AD$509,$B$64:$B$509,$B52)-SUMIFS($AE$64:$AE$509,$B$64:$B$509,$B52)</f>
        <v>-71</v>
      </c>
      <c r="T52" s="80">
        <f>SUMIFS($AF$64:$AF$509,$B$64:$B$509,$B52)</f>
        <v>1390</v>
      </c>
      <c r="U52" s="80">
        <f t="shared" ref="U52:U55" si="43">IFERROR(W52/T52,0)</f>
        <v>547.60737404477879</v>
      </c>
      <c r="V52" s="80">
        <f>SUMIFS($AH$64:$AH$509,$B$64:$B$509,$B52)+SUMIFS($AG$64:$AG$509,$B$64:$B$509,$B52)</f>
        <v>-34684.864237151989</v>
      </c>
      <c r="W52" s="98">
        <f>SUMIFS($AI$64:$AI$509,$B$64:$B$509,$B52)</f>
        <v>761174.2499222426</v>
      </c>
      <c r="X52" s="80">
        <f>SUMIFS($AL$64:$AL$509,$B$64:$B$509,$B52)-SUMIFS($AM$64:$AM$509,$B$64:$B$509,$B52)</f>
        <v>0</v>
      </c>
      <c r="Y52" s="80">
        <f>SUMIFS($AN$64:$AN$509,$B$64:$B$509,$B52)</f>
        <v>1390</v>
      </c>
      <c r="Z52" s="80">
        <f t="shared" ref="Z52:Z55" si="44">IFERROR(AB52/Y52,0)</f>
        <v>592.6521641049892</v>
      </c>
      <c r="AA52" s="80">
        <f>SUMIFS($AP$64:$AP$509,$B$64:$B$509,$B52)+SUMIFS($AO$64:$AO$509,$B$64:$B$509,$B52)</f>
        <v>0</v>
      </c>
      <c r="AB52" s="98">
        <f>SUMIFS($AQ$64:$AQ$509,$B$64:$B$509,$B52)</f>
        <v>823786.50810593495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535</v>
      </c>
      <c r="G53" s="192">
        <f t="shared" si="40"/>
        <v>560.80035355140171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300028.18914999993</v>
      </c>
      <c r="I53" s="97">
        <f>SUMIFS($N$64:$N$509,$B$64:$B$509,$B53)-SUMIFS($O$64:$O$509,$B$64:$B$509,$B53)</f>
        <v>72</v>
      </c>
      <c r="J53" s="80">
        <f>SUMIFS($P$64:$P$509,$B$64:$B$509,$B53)</f>
        <v>607</v>
      </c>
      <c r="K53" s="80">
        <f t="shared" si="41"/>
        <v>543.38101708775412</v>
      </c>
      <c r="L53" s="80">
        <f>SUMIFS($R$64:$R$509,$B$64:$B$509,$B53)+SUMIFS($Q$64:$Q$509,$B$64:$B$509,$B53)</f>
        <v>42447.79470849171</v>
      </c>
      <c r="M53" s="98">
        <f>SUMIFS($S$64:$S$509,$B$64:$B$509,$B53)</f>
        <v>329832.27737226675</v>
      </c>
      <c r="N53" s="80">
        <f>SUMIFS($V$64:$V$509,$B$64:$B$509,$B53)-SUMIFS($W$64:$W$509,$B$64:$B$509,$B53)</f>
        <v>-60</v>
      </c>
      <c r="O53" s="80">
        <f>SUMIFS($X$64:$X$509,$B$64:$B$509,$B53)</f>
        <v>547</v>
      </c>
      <c r="P53" s="80">
        <f t="shared" si="42"/>
        <v>597.59712685109707</v>
      </c>
      <c r="Q53" s="80">
        <f>SUMIFS($Z$64:$Z$509,$B$64:$B$509,$B53)+SUMIFS($Y$64:$Y$509,$B$64:$B$509,$B53)</f>
        <v>-31162.958492785314</v>
      </c>
      <c r="R53" s="80">
        <f>SUMIFS($AA$64:$AA$509,$B$64:$B$509,$B53)</f>
        <v>326885.62838755012</v>
      </c>
      <c r="S53" s="97">
        <f>SUMIFS($AD$64:$AD$509,$B$64:$B$509,$B53)-SUMIFS($AE$64:$AE$509,$B$64:$B$509,$B53)</f>
        <v>-22</v>
      </c>
      <c r="T53" s="80">
        <f>SUMIFS($AF$64:$AF$509,$B$64:$B$509,$B53)</f>
        <v>525</v>
      </c>
      <c r="U53" s="80">
        <f t="shared" si="43"/>
        <v>640.26228420385428</v>
      </c>
      <c r="V53" s="80">
        <f>SUMIFS($AH$64:$AH$509,$B$64:$B$509,$B53)+SUMIFS($AG$64:$AG$509,$B$64:$B$509,$B53)</f>
        <v>-18380.405199163954</v>
      </c>
      <c r="W53" s="98">
        <f>SUMIFS($AI$64:$AI$509,$B$64:$B$509,$B53)</f>
        <v>336137.69920702348</v>
      </c>
      <c r="X53" s="80">
        <f>SUMIFS($AL$64:$AL$509,$B$64:$B$509,$B53)-SUMIFS($AM$64:$AM$509,$B$64:$B$509,$B53)</f>
        <v>-3</v>
      </c>
      <c r="Y53" s="80">
        <f>SUMIFS($AN$64:$AN$509,$B$64:$B$509,$B53)</f>
        <v>522</v>
      </c>
      <c r="Z53" s="80">
        <f t="shared" si="44"/>
        <v>691.46405500346384</v>
      </c>
      <c r="AA53" s="80">
        <f>SUMIFS($AP$64:$AP$509,$B$64:$B$509,$B53)+SUMIFS($AO$64:$AO$509,$B$64:$B$509,$B53)</f>
        <v>-2925.384019312803</v>
      </c>
      <c r="AB53" s="98">
        <f>SUMIFS($AQ$64:$AQ$509,$B$64:$B$509,$B53)</f>
        <v>360944.23671180813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137</v>
      </c>
      <c r="G54" s="192">
        <f t="shared" si="40"/>
        <v>1564.1116072992697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214283.29019999996</v>
      </c>
      <c r="I54" s="97">
        <f>SUMIFS($N$64:$N$509,$B$64:$B$509,$B54)-SUMIFS($O$64:$O$509,$B$64:$B$509,$B54)</f>
        <v>42</v>
      </c>
      <c r="J54" s="80">
        <f>SUMIFS($P$64:$P$509,$B$64:$B$509,$B54)</f>
        <v>179</v>
      </c>
      <c r="K54" s="80">
        <f t="shared" si="41"/>
        <v>1409.4871055969625</v>
      </c>
      <c r="L54" s="80">
        <f>SUMIFS($R$64:$R$509,$B$64:$B$509,$B54)+SUMIFS($Q$64:$Q$509,$B$64:$B$509,$B54)</f>
        <v>45157.749981227375</v>
      </c>
      <c r="M54" s="98">
        <f>SUMIFS($S$64:$S$509,$B$64:$B$509,$B54)</f>
        <v>252298.19190185628</v>
      </c>
      <c r="N54" s="80">
        <f>SUMIFS($V$64:$V$509,$B$64:$B$509,$B54)-SUMIFS($W$64:$W$509,$B$64:$B$509,$B54)</f>
        <v>-7</v>
      </c>
      <c r="O54" s="80">
        <f>SUMIFS($X$64:$X$509,$B$64:$B$509,$B54)</f>
        <v>172</v>
      </c>
      <c r="P54" s="80">
        <f t="shared" si="42"/>
        <v>1517.2091138582566</v>
      </c>
      <c r="Q54" s="80">
        <f>SUMIFS($Z$64:$Z$509,$B$64:$B$509,$B54)+SUMIFS($Y$64:$Y$509,$B$64:$B$509,$B54)</f>
        <v>-10360.237994183401</v>
      </c>
      <c r="R54" s="80">
        <f>SUMIFS($AA$64:$AA$509,$B$64:$B$509,$B54)</f>
        <v>260959.96758362013</v>
      </c>
      <c r="S54" s="97">
        <f>SUMIFS($AD$64:$AD$509,$B$64:$B$509,$B54)-SUMIFS($AE$64:$AE$509,$B$64:$B$509,$B54)</f>
        <v>-2</v>
      </c>
      <c r="T54" s="80">
        <f>SUMIFS($AF$64:$AF$509,$B$64:$B$509,$B54)</f>
        <v>170</v>
      </c>
      <c r="U54" s="80">
        <f t="shared" si="43"/>
        <v>1634.7271018189601</v>
      </c>
      <c r="V54" s="80">
        <f>SUMIFS($AH$64:$AH$509,$B$64:$B$509,$B54)+SUMIFS($AG$64:$AG$509,$B$64:$B$509,$B54)</f>
        <v>-2465.5665553927033</v>
      </c>
      <c r="W54" s="98">
        <f>SUMIFS($AI$64:$AI$509,$B$64:$B$509,$B54)</f>
        <v>277903.60730922321</v>
      </c>
      <c r="X54" s="80">
        <f>SUMIFS($AL$64:$AL$509,$B$64:$B$509,$B54)-SUMIFS($AM$64:$AM$509,$B$64:$B$509,$B54)</f>
        <v>0</v>
      </c>
      <c r="Y54" s="80">
        <f>SUMIFS($AN$64:$AN$509,$B$64:$B$509,$B54)</f>
        <v>170</v>
      </c>
      <c r="Z54" s="80">
        <f t="shared" si="44"/>
        <v>1752.9950554760485</v>
      </c>
      <c r="AA54" s="80">
        <f>SUMIFS($AP$64:$AP$509,$B$64:$B$509,$B54)+SUMIFS($AO$64:$AO$509,$B$64:$B$509,$B54)</f>
        <v>0</v>
      </c>
      <c r="AB54" s="98">
        <f>SUMIFS($AQ$64:$AQ$509,$B$64:$B$509,$B54)</f>
        <v>298009.15943092824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3518</v>
      </c>
      <c r="G56" s="92">
        <f t="shared" ref="G56" si="45">IFERROR(H56/F56,0)</f>
        <v>421.28771600056848</v>
      </c>
      <c r="H56" s="92">
        <f>SUM(H51:H55)</f>
        <v>1482090.1848899999</v>
      </c>
      <c r="I56" s="92">
        <f>SUM(I51:I55)</f>
        <v>434</v>
      </c>
      <c r="J56" s="92">
        <f>SUM(J51:J55)</f>
        <v>3952</v>
      </c>
      <c r="K56" s="92">
        <f t="shared" si="41"/>
        <v>415.21180785332189</v>
      </c>
      <c r="L56" s="92">
        <f>SUM(L51:L55)</f>
        <v>187686.07393269154</v>
      </c>
      <c r="M56" s="92">
        <f>SUM(M51:M55)</f>
        <v>1640917.064636328</v>
      </c>
      <c r="N56" s="92">
        <f t="shared" ref="N56:O56" si="46">SUM(N51:N55)</f>
        <v>-326</v>
      </c>
      <c r="O56" s="92">
        <f t="shared" si="46"/>
        <v>3626</v>
      </c>
      <c r="P56" s="92">
        <f>IFERROR(R56/O56,0)</f>
        <v>456.52067888610867</v>
      </c>
      <c r="Q56" s="92">
        <f t="shared" ref="Q56" si="47">SUM(Q51:Q55)</f>
        <v>-122868.56988980007</v>
      </c>
      <c r="R56" s="92">
        <f t="shared" ref="R56:T56" si="48">SUM(R51:R55)</f>
        <v>1655343.9816410299</v>
      </c>
      <c r="S56" s="92">
        <f t="shared" si="48"/>
        <v>-136</v>
      </c>
      <c r="T56" s="92">
        <f t="shared" si="48"/>
        <v>3490</v>
      </c>
      <c r="U56" s="92">
        <f>IFERROR(W56/T56,0)</f>
        <v>494.15553392920384</v>
      </c>
      <c r="V56" s="92">
        <f t="shared" ref="V56" si="49">SUM(V51:V55)</f>
        <v>-67503.276350850821</v>
      </c>
      <c r="W56" s="92">
        <f t="shared" ref="W56:Y56" si="50">SUM(W51:W55)</f>
        <v>1724602.8134129215</v>
      </c>
      <c r="X56" s="92">
        <f t="shared" si="50"/>
        <v>-10</v>
      </c>
      <c r="Y56" s="92">
        <f t="shared" si="50"/>
        <v>3480</v>
      </c>
      <c r="Z56" s="92">
        <f>IFERROR(AB56/Y56,0)</f>
        <v>534.26036025658948</v>
      </c>
      <c r="AA56" s="92">
        <f t="shared" ref="AA56" si="51">SUM(AA51:AA55)</f>
        <v>-4295.5931881921906</v>
      </c>
      <c r="AB56" s="104">
        <f t="shared" ref="AB56" si="52">SUM(AB51:AB55)</f>
        <v>1859226.0536929315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4.1520300000000008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74</v>
      </c>
      <c r="G65" s="35">
        <f>SUMIFS(WORKING!$AC$3:$AC$6802,WORKING!$A$3:$A$6802,Results!$D$3,WORKING!$B$3:$B$6802,Results!A65,WORKING!$C$3:$C$6802,Results!C65)/1000</f>
        <v>10302.949900000001</v>
      </c>
      <c r="H65" s="35">
        <f t="shared" ref="H65:H80" si="60">IFERROR(G65/F65,0)</f>
        <v>139.22905270270272</v>
      </c>
      <c r="I65" s="187">
        <v>74</v>
      </c>
      <c r="J65" s="212" t="s">
        <v>754</v>
      </c>
      <c r="K65" s="217">
        <f t="shared" ref="K65:K80" si="61">IFERROR(IF(J65="",G65,J65)/IF(I65="",F65,I65),"")</f>
        <v>139.22905270270272</v>
      </c>
      <c r="L65" s="34">
        <f t="shared" si="54"/>
        <v>74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150.85679225976162</v>
      </c>
      <c r="N65" s="57">
        <v>4</v>
      </c>
      <c r="O65" s="57">
        <v>2</v>
      </c>
      <c r="P65" s="61">
        <f t="shared" si="55"/>
        <v>76</v>
      </c>
      <c r="Q65" s="40">
        <f t="shared" ref="Q65:Q80" si="62">M65*N65</f>
        <v>603.42716903904648</v>
      </c>
      <c r="R65" s="40">
        <f t="shared" ref="R65:R80" si="63">-M65*O65</f>
        <v>-301.71358451952324</v>
      </c>
      <c r="S65" s="44">
        <f t="shared" ref="S65:S80" si="64">M65*P65</f>
        <v>11465.116211741883</v>
      </c>
      <c r="T65" s="35">
        <f t="shared" ref="T65:T80" si="65">P65</f>
        <v>76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163.4668522134757</v>
      </c>
      <c r="V65" s="57">
        <v>0</v>
      </c>
      <c r="W65" s="57">
        <v>16</v>
      </c>
      <c r="X65" s="61">
        <f t="shared" si="56"/>
        <v>60</v>
      </c>
      <c r="Y65" s="40">
        <f t="shared" ref="Y65:Y80" si="66">U65*V65</f>
        <v>0</v>
      </c>
      <c r="Z65" s="40">
        <f t="shared" ref="Z65:Z80" si="67">-U65*W65</f>
        <v>-2615.4696354156113</v>
      </c>
      <c r="AA65" s="44">
        <f t="shared" ref="AA65:AA80" si="68">U65*X65</f>
        <v>9808.0111328085422</v>
      </c>
      <c r="AB65" s="35">
        <f t="shared" ref="AB65:AB80" si="69">X65</f>
        <v>60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176.96551462218937</v>
      </c>
      <c r="AD65" s="57">
        <v>0</v>
      </c>
      <c r="AE65" s="57">
        <v>2</v>
      </c>
      <c r="AF65" s="61">
        <f t="shared" si="57"/>
        <v>58</v>
      </c>
      <c r="AG65" s="40">
        <f t="shared" ref="AG65:AG80" si="70">AC65*AD65</f>
        <v>0</v>
      </c>
      <c r="AH65" s="40">
        <f t="shared" ref="AH65:AH80" si="71">-AC65*AE65</f>
        <v>-353.93102924437875</v>
      </c>
      <c r="AI65" s="44">
        <f t="shared" ref="AI65:AI80" si="72">AC65*AF65</f>
        <v>10263.999848086984</v>
      </c>
      <c r="AJ65" s="35">
        <f t="shared" si="58"/>
        <v>58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191.22059830543014</v>
      </c>
      <c r="AL65" s="57">
        <v>0</v>
      </c>
      <c r="AM65" s="57">
        <v>5</v>
      </c>
      <c r="AN65" s="61">
        <f t="shared" si="59"/>
        <v>53</v>
      </c>
      <c r="AO65" s="40">
        <f t="shared" ref="AO65:AO80" si="73">AK65*AL65</f>
        <v>0</v>
      </c>
      <c r="AP65" s="40">
        <f t="shared" ref="AP65:AP80" si="74">-AK65*AM65</f>
        <v>-956.10299152715072</v>
      </c>
      <c r="AQ65" s="44">
        <f t="shared" ref="AQ65:AQ80" si="75">AK65*AN65</f>
        <v>10134.691710187797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87</v>
      </c>
      <c r="G66" s="35">
        <f>SUMIFS(WORKING!$AC$3:$AC$6802,WORKING!$A$3:$A$6802,Results!$D$3,WORKING!$B$3:$B$6802,Results!A66,WORKING!$C$3:$C$6802,Results!C66)/1000</f>
        <v>13053.32826</v>
      </c>
      <c r="H66" s="35">
        <f t="shared" si="60"/>
        <v>150.03825586206898</v>
      </c>
      <c r="I66" s="187">
        <v>87</v>
      </c>
      <c r="J66" s="212" t="s">
        <v>754</v>
      </c>
      <c r="K66" s="217">
        <f t="shared" si="61"/>
        <v>150.03825586206898</v>
      </c>
      <c r="L66" s="34">
        <f t="shared" si="54"/>
        <v>87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162.9881251722696</v>
      </c>
      <c r="N66" s="57">
        <v>9</v>
      </c>
      <c r="O66" s="57">
        <v>3</v>
      </c>
      <c r="P66" s="61">
        <f t="shared" si="55"/>
        <v>93</v>
      </c>
      <c r="Q66" s="40">
        <f t="shared" si="62"/>
        <v>1466.8931265504264</v>
      </c>
      <c r="R66" s="40">
        <f t="shared" si="63"/>
        <v>-488.96437551680879</v>
      </c>
      <c r="S66" s="44">
        <f t="shared" si="64"/>
        <v>15157.895641021074</v>
      </c>
      <c r="T66" s="35">
        <f t="shared" si="65"/>
        <v>93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176.74187293635046</v>
      </c>
      <c r="V66" s="57">
        <v>0</v>
      </c>
      <c r="W66" s="57">
        <v>12</v>
      </c>
      <c r="X66" s="61">
        <f t="shared" si="56"/>
        <v>81</v>
      </c>
      <c r="Y66" s="40">
        <f t="shared" si="66"/>
        <v>0</v>
      </c>
      <c r="Z66" s="40">
        <f t="shared" si="67"/>
        <v>-2120.9024752362056</v>
      </c>
      <c r="AA66" s="44">
        <f t="shared" si="68"/>
        <v>14316.091707844387</v>
      </c>
      <c r="AB66" s="35">
        <f t="shared" si="69"/>
        <v>81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191.47719085506967</v>
      </c>
      <c r="AD66" s="57">
        <v>0</v>
      </c>
      <c r="AE66" s="57">
        <v>2</v>
      </c>
      <c r="AF66" s="61">
        <f t="shared" si="57"/>
        <v>79</v>
      </c>
      <c r="AG66" s="40">
        <f t="shared" si="70"/>
        <v>0</v>
      </c>
      <c r="AH66" s="40">
        <f t="shared" si="71"/>
        <v>-382.95438171013933</v>
      </c>
      <c r="AI66" s="44">
        <f t="shared" si="72"/>
        <v>15126.698077550504</v>
      </c>
      <c r="AJ66" s="35">
        <f t="shared" si="58"/>
        <v>79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207.05308867611842</v>
      </c>
      <c r="AL66" s="57">
        <v>0</v>
      </c>
      <c r="AM66" s="57">
        <v>2</v>
      </c>
      <c r="AN66" s="61">
        <f t="shared" si="59"/>
        <v>77</v>
      </c>
      <c r="AO66" s="40">
        <f t="shared" si="73"/>
        <v>0</v>
      </c>
      <c r="AP66" s="40">
        <f t="shared" si="74"/>
        <v>-414.10617735223684</v>
      </c>
      <c r="AQ66" s="44">
        <f t="shared" si="75"/>
        <v>15943.087828061118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56</v>
      </c>
      <c r="G67" s="35">
        <f>SUMIFS(WORKING!$AC$3:$AC$6802,WORKING!$A$3:$A$6802,Results!$D$3,WORKING!$B$3:$B$6802,Results!A67,WORKING!$C$3:$C$6802,Results!C67)/1000</f>
        <v>11081.369500000001</v>
      </c>
      <c r="H67" s="35">
        <f t="shared" si="60"/>
        <v>197.88159821428573</v>
      </c>
      <c r="I67" s="187">
        <v>56</v>
      </c>
      <c r="J67" s="212" t="s">
        <v>754</v>
      </c>
      <c r="K67" s="217">
        <f t="shared" si="61"/>
        <v>197.88159821428573</v>
      </c>
      <c r="L67" s="34">
        <f t="shared" si="54"/>
        <v>56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214.99353563127914</v>
      </c>
      <c r="N67" s="57">
        <v>6</v>
      </c>
      <c r="O67" s="57">
        <v>2</v>
      </c>
      <c r="P67" s="61">
        <f t="shared" si="55"/>
        <v>60</v>
      </c>
      <c r="Q67" s="40">
        <f t="shared" si="62"/>
        <v>1289.9612137876748</v>
      </c>
      <c r="R67" s="40">
        <f t="shared" si="63"/>
        <v>-429.98707126255829</v>
      </c>
      <c r="S67" s="44">
        <f t="shared" si="64"/>
        <v>12899.612137876749</v>
      </c>
      <c r="T67" s="35">
        <f t="shared" si="65"/>
        <v>60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233.14596370301624</v>
      </c>
      <c r="V67" s="57">
        <v>0</v>
      </c>
      <c r="W67" s="57">
        <v>14</v>
      </c>
      <c r="X67" s="61">
        <f t="shared" si="56"/>
        <v>46</v>
      </c>
      <c r="Y67" s="40">
        <f t="shared" si="66"/>
        <v>0</v>
      </c>
      <c r="Z67" s="40">
        <f t="shared" si="67"/>
        <v>-3264.0434918422275</v>
      </c>
      <c r="AA67" s="44">
        <f t="shared" si="68"/>
        <v>10724.714330338747</v>
      </c>
      <c r="AB67" s="35">
        <f t="shared" si="69"/>
        <v>46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252.59485595684788</v>
      </c>
      <c r="AD67" s="57">
        <v>0</v>
      </c>
      <c r="AE67" s="57">
        <v>1</v>
      </c>
      <c r="AF67" s="61">
        <f t="shared" si="57"/>
        <v>45</v>
      </c>
      <c r="AG67" s="40">
        <f t="shared" si="70"/>
        <v>0</v>
      </c>
      <c r="AH67" s="40">
        <f t="shared" si="71"/>
        <v>-252.59485595684788</v>
      </c>
      <c r="AI67" s="44">
        <f t="shared" si="72"/>
        <v>11366.768518058154</v>
      </c>
      <c r="AJ67" s="35">
        <f t="shared" si="58"/>
        <v>45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273.15437811283363</v>
      </c>
      <c r="AL67" s="57">
        <v>0</v>
      </c>
      <c r="AM67" s="57">
        <v>0</v>
      </c>
      <c r="AN67" s="61">
        <f t="shared" si="59"/>
        <v>45</v>
      </c>
      <c r="AO67" s="40">
        <f t="shared" si="73"/>
        <v>0</v>
      </c>
      <c r="AP67" s="40">
        <f t="shared" si="74"/>
        <v>0</v>
      </c>
      <c r="AQ67" s="44">
        <f t="shared" si="75"/>
        <v>12291.947015077512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170</v>
      </c>
      <c r="G68" s="35">
        <f>SUMIFS(WORKING!$AC$3:$AC$6802,WORKING!$A$3:$A$6802,Results!$D$3,WORKING!$B$3:$B$6802,Results!A68,WORKING!$C$3:$C$6802,Results!C68)/1000</f>
        <v>30794.285609999999</v>
      </c>
      <c r="H68" s="35">
        <f t="shared" si="60"/>
        <v>181.14285652941174</v>
      </c>
      <c r="I68" s="187">
        <v>170</v>
      </c>
      <c r="J68" s="212" t="s">
        <v>754</v>
      </c>
      <c r="K68" s="217">
        <f t="shared" si="61"/>
        <v>181.14285652941174</v>
      </c>
      <c r="L68" s="34">
        <f t="shared" si="54"/>
        <v>170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197.10055627199063</v>
      </c>
      <c r="N68" s="57">
        <v>30</v>
      </c>
      <c r="O68" s="57">
        <v>5</v>
      </c>
      <c r="P68" s="61">
        <f t="shared" si="55"/>
        <v>195</v>
      </c>
      <c r="Q68" s="40">
        <f t="shared" si="62"/>
        <v>5913.0166881597188</v>
      </c>
      <c r="R68" s="40">
        <f t="shared" si="63"/>
        <v>-985.50278135995313</v>
      </c>
      <c r="S68" s="44">
        <f t="shared" si="64"/>
        <v>38434.60847303817</v>
      </c>
      <c r="T68" s="35">
        <f t="shared" si="65"/>
        <v>195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213.83412290622434</v>
      </c>
      <c r="V68" s="57">
        <v>0</v>
      </c>
      <c r="W68" s="57">
        <v>44</v>
      </c>
      <c r="X68" s="61">
        <f t="shared" si="56"/>
        <v>151</v>
      </c>
      <c r="Y68" s="40">
        <f t="shared" si="66"/>
        <v>0</v>
      </c>
      <c r="Z68" s="40">
        <f t="shared" si="67"/>
        <v>-9408.7014078738703</v>
      </c>
      <c r="AA68" s="44">
        <f t="shared" si="68"/>
        <v>32288.952558839876</v>
      </c>
      <c r="AB68" s="35">
        <f t="shared" si="69"/>
        <v>151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231.77156327031901</v>
      </c>
      <c r="AD68" s="57">
        <v>0</v>
      </c>
      <c r="AE68" s="57">
        <v>4</v>
      </c>
      <c r="AF68" s="61">
        <f t="shared" si="57"/>
        <v>147</v>
      </c>
      <c r="AG68" s="40">
        <f t="shared" si="70"/>
        <v>0</v>
      </c>
      <c r="AH68" s="40">
        <f t="shared" si="71"/>
        <v>-927.08625308127603</v>
      </c>
      <c r="AI68" s="44">
        <f t="shared" si="72"/>
        <v>34070.41980073689</v>
      </c>
      <c r="AJ68" s="35">
        <f t="shared" si="58"/>
        <v>147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250.74374704121161</v>
      </c>
      <c r="AL68" s="57">
        <v>0</v>
      </c>
      <c r="AM68" s="57">
        <v>0</v>
      </c>
      <c r="AN68" s="61">
        <f t="shared" si="59"/>
        <v>147</v>
      </c>
      <c r="AO68" s="40">
        <f t="shared" si="73"/>
        <v>0</v>
      </c>
      <c r="AP68" s="40">
        <f t="shared" si="74"/>
        <v>0</v>
      </c>
      <c r="AQ68" s="44">
        <f t="shared" si="75"/>
        <v>36859.330815058107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354</v>
      </c>
      <c r="G69" s="35">
        <f>SUMIFS(WORKING!$AC$3:$AC$6802,WORKING!$A$3:$A$6802,Results!$D$3,WORKING!$B$3:$B$6802,Results!A69,WORKING!$C$3:$C$6802,Results!C69)/1000</f>
        <v>88788.933059999981</v>
      </c>
      <c r="H69" s="35">
        <f t="shared" si="60"/>
        <v>250.81619508474571</v>
      </c>
      <c r="I69" s="187">
        <v>350</v>
      </c>
      <c r="J69" s="212" t="s">
        <v>754</v>
      </c>
      <c r="K69" s="217">
        <f t="shared" si="61"/>
        <v>253.68266588571424</v>
      </c>
      <c r="L69" s="34">
        <f t="shared" si="54"/>
        <v>350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276.12367953304545</v>
      </c>
      <c r="N69" s="57">
        <v>18</v>
      </c>
      <c r="O69" s="57">
        <v>11</v>
      </c>
      <c r="P69" s="61">
        <f t="shared" si="55"/>
        <v>357</v>
      </c>
      <c r="Q69" s="40">
        <f t="shared" si="62"/>
        <v>4970.2262315948183</v>
      </c>
      <c r="R69" s="40">
        <f t="shared" si="63"/>
        <v>-3037.3604748634998</v>
      </c>
      <c r="S69" s="44">
        <f t="shared" si="64"/>
        <v>98576.153593297218</v>
      </c>
      <c r="T69" s="35">
        <f t="shared" si="65"/>
        <v>357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299.59368092170689</v>
      </c>
      <c r="V69" s="57">
        <v>0</v>
      </c>
      <c r="W69" s="57">
        <v>27</v>
      </c>
      <c r="X69" s="61">
        <f t="shared" si="56"/>
        <v>330</v>
      </c>
      <c r="Y69" s="40">
        <f t="shared" si="66"/>
        <v>0</v>
      </c>
      <c r="Z69" s="40">
        <f t="shared" si="67"/>
        <v>-8089.0293848860856</v>
      </c>
      <c r="AA69" s="44">
        <f t="shared" si="68"/>
        <v>98865.914704163268</v>
      </c>
      <c r="AB69" s="35">
        <f t="shared" si="69"/>
        <v>330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324.75489581609349</v>
      </c>
      <c r="AD69" s="57">
        <v>0</v>
      </c>
      <c r="AE69" s="57">
        <v>29</v>
      </c>
      <c r="AF69" s="61">
        <f t="shared" si="57"/>
        <v>301</v>
      </c>
      <c r="AG69" s="40">
        <f t="shared" si="70"/>
        <v>0</v>
      </c>
      <c r="AH69" s="40">
        <f t="shared" si="71"/>
        <v>-9417.891978666712</v>
      </c>
      <c r="AI69" s="44">
        <f t="shared" si="72"/>
        <v>97751.223640644137</v>
      </c>
      <c r="AJ69" s="35">
        <f t="shared" si="58"/>
        <v>301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351.3708645664629</v>
      </c>
      <c r="AL69" s="57">
        <v>0</v>
      </c>
      <c r="AM69" s="57">
        <v>0</v>
      </c>
      <c r="AN69" s="61">
        <f t="shared" si="59"/>
        <v>301</v>
      </c>
      <c r="AO69" s="40">
        <f t="shared" si="73"/>
        <v>0</v>
      </c>
      <c r="AP69" s="40">
        <f t="shared" si="74"/>
        <v>0</v>
      </c>
      <c r="AQ69" s="44">
        <f t="shared" si="75"/>
        <v>105762.63023450533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277</v>
      </c>
      <c r="G70" s="35">
        <f>SUMIFS(WORKING!$AC$3:$AC$6802,WORKING!$A$3:$A$6802,Results!$D$3,WORKING!$B$3:$B$6802,Results!A70,WORKING!$C$3:$C$6802,Results!C70)/1000</f>
        <v>84576.353359999994</v>
      </c>
      <c r="H70" s="35">
        <f t="shared" si="60"/>
        <v>305.32979552346569</v>
      </c>
      <c r="I70" s="187">
        <v>282</v>
      </c>
      <c r="J70" s="212" t="s">
        <v>754</v>
      </c>
      <c r="K70" s="217">
        <f t="shared" si="61"/>
        <v>299.91614666666663</v>
      </c>
      <c r="L70" s="34">
        <f t="shared" si="54"/>
        <v>282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326.67254102531859</v>
      </c>
      <c r="N70" s="57">
        <v>40</v>
      </c>
      <c r="O70" s="57">
        <v>8</v>
      </c>
      <c r="P70" s="61">
        <f t="shared" si="55"/>
        <v>314</v>
      </c>
      <c r="Q70" s="40">
        <f t="shared" si="62"/>
        <v>13066.901641012744</v>
      </c>
      <c r="R70" s="40">
        <f t="shared" si="63"/>
        <v>-2613.3803282025488</v>
      </c>
      <c r="S70" s="44">
        <f t="shared" si="64"/>
        <v>102575.17788195003</v>
      </c>
      <c r="T70" s="35">
        <f t="shared" si="65"/>
        <v>314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354.50928956206957</v>
      </c>
      <c r="V70" s="57">
        <v>0</v>
      </c>
      <c r="W70" s="57">
        <v>24</v>
      </c>
      <c r="X70" s="61">
        <f t="shared" si="56"/>
        <v>290</v>
      </c>
      <c r="Y70" s="40">
        <f t="shared" si="66"/>
        <v>0</v>
      </c>
      <c r="Z70" s="40">
        <f t="shared" si="67"/>
        <v>-8508.2229494896692</v>
      </c>
      <c r="AA70" s="44">
        <f t="shared" si="68"/>
        <v>102807.69397300018</v>
      </c>
      <c r="AB70" s="35">
        <f t="shared" si="69"/>
        <v>290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384.35863869219054</v>
      </c>
      <c r="AD70" s="57">
        <v>0</v>
      </c>
      <c r="AE70" s="57">
        <v>20</v>
      </c>
      <c r="AF70" s="61">
        <f t="shared" si="57"/>
        <v>270</v>
      </c>
      <c r="AG70" s="40">
        <f t="shared" si="70"/>
        <v>0</v>
      </c>
      <c r="AH70" s="40">
        <f t="shared" si="71"/>
        <v>-7687.1727738438112</v>
      </c>
      <c r="AI70" s="44">
        <f t="shared" si="72"/>
        <v>103776.83244689145</v>
      </c>
      <c r="AJ70" s="35">
        <f t="shared" si="58"/>
        <v>270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415.94183913205359</v>
      </c>
      <c r="AL70" s="57">
        <v>0</v>
      </c>
      <c r="AM70" s="57">
        <v>0</v>
      </c>
      <c r="AN70" s="61">
        <f t="shared" si="59"/>
        <v>270</v>
      </c>
      <c r="AO70" s="40">
        <f t="shared" si="73"/>
        <v>0</v>
      </c>
      <c r="AP70" s="40">
        <f t="shared" si="74"/>
        <v>0</v>
      </c>
      <c r="AQ70" s="44">
        <f t="shared" si="75"/>
        <v>112304.29656565447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196</v>
      </c>
      <c r="G71" s="35">
        <f>SUMIFS(WORKING!$AC$3:$AC$6802,WORKING!$A$3:$A$6802,Results!$D$3,WORKING!$B$3:$B$6802,Results!A71,WORKING!$C$3:$C$6802,Results!C71)/1000</f>
        <v>75103.728569999992</v>
      </c>
      <c r="H71" s="35">
        <f>IFERROR(G71/F71,0)</f>
        <v>383.18228862244894</v>
      </c>
      <c r="I71" s="187">
        <v>195</v>
      </c>
      <c r="J71" s="212" t="s">
        <v>754</v>
      </c>
      <c r="K71" s="217">
        <f t="shared" si="61"/>
        <v>385.14732599999996</v>
      </c>
      <c r="L71" s="34">
        <f t="shared" si="54"/>
        <v>195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419.49108333679447</v>
      </c>
      <c r="N71" s="57">
        <v>30</v>
      </c>
      <c r="O71" s="57">
        <v>6</v>
      </c>
      <c r="P71" s="61">
        <f t="shared" si="55"/>
        <v>219</v>
      </c>
      <c r="Q71" s="40">
        <f t="shared" si="62"/>
        <v>12584.732500103833</v>
      </c>
      <c r="R71" s="40">
        <f t="shared" si="63"/>
        <v>-2516.946500020767</v>
      </c>
      <c r="S71" s="44">
        <f t="shared" si="64"/>
        <v>91868.547250757983</v>
      </c>
      <c r="T71" s="35">
        <f t="shared" si="65"/>
        <v>219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455.23238339118535</v>
      </c>
      <c r="V71" s="57">
        <v>0</v>
      </c>
      <c r="W71" s="57">
        <v>19</v>
      </c>
      <c r="X71" s="61">
        <f t="shared" si="56"/>
        <v>200</v>
      </c>
      <c r="Y71" s="40">
        <f t="shared" si="66"/>
        <v>0</v>
      </c>
      <c r="Z71" s="40">
        <f t="shared" si="67"/>
        <v>-8649.4152844325217</v>
      </c>
      <c r="AA71" s="44">
        <f t="shared" si="68"/>
        <v>91046.476678237072</v>
      </c>
      <c r="AB71" s="35">
        <f t="shared" si="69"/>
        <v>200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493.55732274351499</v>
      </c>
      <c r="AD71" s="57">
        <v>0</v>
      </c>
      <c r="AE71" s="57">
        <v>10</v>
      </c>
      <c r="AF71" s="61">
        <f t="shared" si="57"/>
        <v>190</v>
      </c>
      <c r="AG71" s="40">
        <f t="shared" si="70"/>
        <v>0</v>
      </c>
      <c r="AH71" s="40">
        <f t="shared" si="71"/>
        <v>-4935.5732274351503</v>
      </c>
      <c r="AI71" s="44">
        <f t="shared" si="72"/>
        <v>93775.891321267845</v>
      </c>
      <c r="AJ71" s="35">
        <f t="shared" si="58"/>
        <v>190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534.10787894736552</v>
      </c>
      <c r="AL71" s="57">
        <v>0</v>
      </c>
      <c r="AM71" s="57">
        <v>0</v>
      </c>
      <c r="AN71" s="61">
        <f t="shared" si="59"/>
        <v>190</v>
      </c>
      <c r="AO71" s="40">
        <f t="shared" si="73"/>
        <v>0</v>
      </c>
      <c r="AP71" s="40">
        <f t="shared" si="74"/>
        <v>0</v>
      </c>
      <c r="AQ71" s="44">
        <f t="shared" si="75"/>
        <v>101480.49699999945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109</v>
      </c>
      <c r="G72" s="35">
        <f>SUMIFS(WORKING!$AC$3:$AC$6802,WORKING!$A$3:$A$6802,Results!$D$3,WORKING!$B$3:$B$6802,Results!A72,WORKING!$C$3:$C$6802,Results!C72)/1000</f>
        <v>53279.545610000008</v>
      </c>
      <c r="H72" s="35">
        <f t="shared" si="60"/>
        <v>488.80317073394502</v>
      </c>
      <c r="I72" s="187">
        <v>110</v>
      </c>
      <c r="J72" s="212" t="s">
        <v>754</v>
      </c>
      <c r="K72" s="217">
        <f>IFERROR(IF(J72="",G72,J72)/IF(I72="",F72,I72),"")</f>
        <v>484.35950554545462</v>
      </c>
      <c r="L72" s="34">
        <f t="shared" si="54"/>
        <v>110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528.00655240546496</v>
      </c>
      <c r="N72" s="57">
        <v>30</v>
      </c>
      <c r="O72" s="57">
        <v>3</v>
      </c>
      <c r="P72" s="61">
        <f t="shared" si="55"/>
        <v>137</v>
      </c>
      <c r="Q72" s="40">
        <f t="shared" si="62"/>
        <v>15840.196572163948</v>
      </c>
      <c r="R72" s="40">
        <f t="shared" si="63"/>
        <v>-1584.019657216395</v>
      </c>
      <c r="S72" s="44">
        <f t="shared" si="64"/>
        <v>72336.897679548696</v>
      </c>
      <c r="T72" s="35">
        <f t="shared" si="65"/>
        <v>137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573.135379251009</v>
      </c>
      <c r="V72" s="57">
        <v>0</v>
      </c>
      <c r="W72" s="57">
        <v>17</v>
      </c>
      <c r="X72" s="61">
        <f t="shared" si="56"/>
        <v>120</v>
      </c>
      <c r="Y72" s="40">
        <f t="shared" si="66"/>
        <v>0</v>
      </c>
      <c r="Z72" s="40">
        <f t="shared" si="67"/>
        <v>-9743.301447267153</v>
      </c>
      <c r="AA72" s="44">
        <f t="shared" si="68"/>
        <v>68776.24551012108</v>
      </c>
      <c r="AB72" s="35">
        <f t="shared" si="69"/>
        <v>120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621.54007222195946</v>
      </c>
      <c r="AD72" s="57">
        <v>0</v>
      </c>
      <c r="AE72" s="57">
        <v>15</v>
      </c>
      <c r="AF72" s="61">
        <f t="shared" si="57"/>
        <v>105</v>
      </c>
      <c r="AG72" s="40">
        <f t="shared" si="70"/>
        <v>0</v>
      </c>
      <c r="AH72" s="40">
        <f t="shared" si="71"/>
        <v>-9323.1010833293913</v>
      </c>
      <c r="AI72" s="44">
        <f t="shared" si="72"/>
        <v>65261.707583305746</v>
      </c>
      <c r="AJ72" s="35">
        <f t="shared" si="58"/>
        <v>105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672.77203272165536</v>
      </c>
      <c r="AL72" s="57">
        <v>0</v>
      </c>
      <c r="AM72" s="57">
        <v>0</v>
      </c>
      <c r="AN72" s="61">
        <f t="shared" si="59"/>
        <v>105</v>
      </c>
      <c r="AO72" s="40">
        <f t="shared" si="73"/>
        <v>0</v>
      </c>
      <c r="AP72" s="40">
        <f t="shared" si="74"/>
        <v>0</v>
      </c>
      <c r="AQ72" s="44">
        <f t="shared" si="75"/>
        <v>70641.063435773816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152</v>
      </c>
      <c r="G73" s="35">
        <f>SUMIFS(WORKING!$AC$3:$AC$6802,WORKING!$A$3:$A$6802,Results!$D$3,WORKING!$B$3:$B$6802,Results!A73,WORKING!$C$3:$C$6802,Results!C73)/1000</f>
        <v>69091.891650000005</v>
      </c>
      <c r="H73" s="35">
        <f t="shared" si="60"/>
        <v>454.55191875000003</v>
      </c>
      <c r="I73" s="187">
        <v>149</v>
      </c>
      <c r="J73" s="212" t="s">
        <v>754</v>
      </c>
      <c r="K73" s="217">
        <f t="shared" si="61"/>
        <v>463.70397080536918</v>
      </c>
      <c r="L73" s="34">
        <f t="shared" si="54"/>
        <v>149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505.4320987961803</v>
      </c>
      <c r="N73" s="57">
        <v>17</v>
      </c>
      <c r="O73" s="57">
        <v>4</v>
      </c>
      <c r="P73" s="61">
        <f t="shared" si="55"/>
        <v>162</v>
      </c>
      <c r="Q73" s="40">
        <f t="shared" si="62"/>
        <v>8592.3456795350648</v>
      </c>
      <c r="R73" s="40">
        <f t="shared" si="63"/>
        <v>-2021.7283951847212</v>
      </c>
      <c r="S73" s="44">
        <f t="shared" si="64"/>
        <v>81880.000004981208</v>
      </c>
      <c r="T73" s="35">
        <f t="shared" si="65"/>
        <v>162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548.61352367263646</v>
      </c>
      <c r="V73" s="57">
        <v>0</v>
      </c>
      <c r="W73" s="57">
        <v>22</v>
      </c>
      <c r="X73" s="61">
        <f t="shared" si="56"/>
        <v>140</v>
      </c>
      <c r="Y73" s="40">
        <f t="shared" si="66"/>
        <v>0</v>
      </c>
      <c r="Z73" s="40">
        <f t="shared" si="67"/>
        <v>-12069.497520798002</v>
      </c>
      <c r="AA73" s="44">
        <f t="shared" si="68"/>
        <v>76805.893314169109</v>
      </c>
      <c r="AB73" s="35">
        <f t="shared" si="69"/>
        <v>140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594.92774568509662</v>
      </c>
      <c r="AD73" s="57">
        <v>0</v>
      </c>
      <c r="AE73" s="57">
        <v>16</v>
      </c>
      <c r="AF73" s="61">
        <f t="shared" si="57"/>
        <v>124</v>
      </c>
      <c r="AG73" s="40">
        <f t="shared" si="70"/>
        <v>0</v>
      </c>
      <c r="AH73" s="40">
        <f t="shared" si="71"/>
        <v>-9518.843930961546</v>
      </c>
      <c r="AI73" s="44">
        <f t="shared" si="72"/>
        <v>73771.040464951977</v>
      </c>
      <c r="AJ73" s="35">
        <f t="shared" si="58"/>
        <v>124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643.94510757164323</v>
      </c>
      <c r="AL73" s="57">
        <v>0</v>
      </c>
      <c r="AM73" s="57">
        <v>0</v>
      </c>
      <c r="AN73" s="61">
        <f t="shared" si="59"/>
        <v>124</v>
      </c>
      <c r="AO73" s="40">
        <f t="shared" si="73"/>
        <v>0</v>
      </c>
      <c r="AP73" s="40">
        <f t="shared" si="74"/>
        <v>0</v>
      </c>
      <c r="AQ73" s="44">
        <f t="shared" si="75"/>
        <v>79849.193338883764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56</v>
      </c>
      <c r="G74" s="35">
        <f>SUMIFS(WORKING!$AC$3:$AC$6802,WORKING!$A$3:$A$6802,Results!$D$3,WORKING!$B$3:$B$6802,Results!A74,WORKING!$C$3:$C$6802,Results!C74)/1000</f>
        <v>40501.010729999973</v>
      </c>
      <c r="H74" s="35">
        <f t="shared" si="60"/>
        <v>723.23233446428526</v>
      </c>
      <c r="I74" s="187">
        <v>60</v>
      </c>
      <c r="J74" s="212" t="s">
        <v>754</v>
      </c>
      <c r="K74" s="217">
        <f t="shared" si="61"/>
        <v>675.01684549999959</v>
      </c>
      <c r="L74" s="34">
        <f t="shared" si="54"/>
        <v>60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736.88249768151957</v>
      </c>
      <c r="N74" s="57">
        <v>14</v>
      </c>
      <c r="O74" s="57">
        <v>2</v>
      </c>
      <c r="P74" s="61">
        <f t="shared" si="55"/>
        <v>72</v>
      </c>
      <c r="Q74" s="40">
        <f t="shared" si="62"/>
        <v>10316.354967541274</v>
      </c>
      <c r="R74" s="40">
        <f t="shared" si="63"/>
        <v>-1473.7649953630391</v>
      </c>
      <c r="S74" s="44">
        <f t="shared" si="64"/>
        <v>53055.539833069408</v>
      </c>
      <c r="T74" s="35">
        <f t="shared" si="65"/>
        <v>72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799.93256654618256</v>
      </c>
      <c r="V74" s="57">
        <v>0</v>
      </c>
      <c r="W74" s="57">
        <v>12</v>
      </c>
      <c r="X74" s="61">
        <f t="shared" si="56"/>
        <v>60</v>
      </c>
      <c r="Y74" s="40">
        <f t="shared" si="66"/>
        <v>0</v>
      </c>
      <c r="Z74" s="40">
        <f t="shared" si="67"/>
        <v>-9599.1907985541911</v>
      </c>
      <c r="AA74" s="44">
        <f t="shared" si="68"/>
        <v>47995.953992770956</v>
      </c>
      <c r="AB74" s="35">
        <f t="shared" si="69"/>
        <v>60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867.5658371888286</v>
      </c>
      <c r="AD74" s="57">
        <v>0</v>
      </c>
      <c r="AE74" s="57">
        <v>10</v>
      </c>
      <c r="AF74" s="61">
        <f t="shared" si="57"/>
        <v>50</v>
      </c>
      <c r="AG74" s="40">
        <f t="shared" si="70"/>
        <v>0</v>
      </c>
      <c r="AH74" s="40">
        <f t="shared" si="71"/>
        <v>-8675.6583718882866</v>
      </c>
      <c r="AI74" s="44">
        <f t="shared" si="72"/>
        <v>43378.29185944143</v>
      </c>
      <c r="AJ74" s="35">
        <f t="shared" si="58"/>
        <v>50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939.15704461692962</v>
      </c>
      <c r="AL74" s="57">
        <v>0</v>
      </c>
      <c r="AM74" s="57">
        <v>0</v>
      </c>
      <c r="AN74" s="61">
        <f t="shared" si="59"/>
        <v>50</v>
      </c>
      <c r="AO74" s="40">
        <f t="shared" si="73"/>
        <v>0</v>
      </c>
      <c r="AP74" s="40">
        <f t="shared" si="74"/>
        <v>0</v>
      </c>
      <c r="AQ74" s="44">
        <f t="shared" si="75"/>
        <v>46957.852230846482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100</v>
      </c>
      <c r="G75" s="35">
        <f>SUMIFS(WORKING!$AC$3:$AC$6802,WORKING!$A$3:$A$6802,Results!$D$3,WORKING!$B$3:$B$6802,Results!A75,WORKING!$C$3:$C$6802,Results!C75)/1000</f>
        <v>70076.368329999998</v>
      </c>
      <c r="H75" s="35">
        <f t="shared" si="60"/>
        <v>700.76368330000003</v>
      </c>
      <c r="I75" s="187">
        <v>100</v>
      </c>
      <c r="J75" s="212" t="s">
        <v>754</v>
      </c>
      <c r="K75" s="217">
        <f t="shared" si="61"/>
        <v>700.76368330000003</v>
      </c>
      <c r="L75" s="34">
        <f t="shared" si="54"/>
        <v>100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765.01830238939408</v>
      </c>
      <c r="N75" s="57">
        <v>20</v>
      </c>
      <c r="O75" s="57">
        <v>3</v>
      </c>
      <c r="P75" s="61">
        <f t="shared" si="55"/>
        <v>117</v>
      </c>
      <c r="Q75" s="40">
        <f t="shared" si="62"/>
        <v>15300.366047787882</v>
      </c>
      <c r="R75" s="40">
        <f t="shared" si="63"/>
        <v>-2295.0549071681821</v>
      </c>
      <c r="S75" s="44">
        <f t="shared" si="64"/>
        <v>89507.141379559107</v>
      </c>
      <c r="T75" s="35">
        <f t="shared" si="65"/>
        <v>117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830.50752240518921</v>
      </c>
      <c r="V75" s="57">
        <v>0</v>
      </c>
      <c r="W75" s="57">
        <v>17</v>
      </c>
      <c r="X75" s="61">
        <f t="shared" si="56"/>
        <v>100</v>
      </c>
      <c r="Y75" s="40">
        <f t="shared" si="66"/>
        <v>0</v>
      </c>
      <c r="Z75" s="40">
        <f t="shared" si="67"/>
        <v>-14118.627880888216</v>
      </c>
      <c r="AA75" s="44">
        <f t="shared" si="68"/>
        <v>83050.752240518923</v>
      </c>
      <c r="AB75" s="35">
        <f t="shared" si="69"/>
        <v>100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900.76031283395093</v>
      </c>
      <c r="AD75" s="57">
        <v>0</v>
      </c>
      <c r="AE75" s="57">
        <v>10</v>
      </c>
      <c r="AF75" s="61">
        <f t="shared" si="57"/>
        <v>90</v>
      </c>
      <c r="AG75" s="40">
        <f t="shared" si="70"/>
        <v>0</v>
      </c>
      <c r="AH75" s="40">
        <f t="shared" si="71"/>
        <v>-9007.6031283395096</v>
      </c>
      <c r="AI75" s="44">
        <f t="shared" si="72"/>
        <v>81068.42815505559</v>
      </c>
      <c r="AJ75" s="35">
        <f t="shared" si="58"/>
        <v>90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975.12800643760102</v>
      </c>
      <c r="AL75" s="57">
        <v>0</v>
      </c>
      <c r="AM75" s="57">
        <v>3</v>
      </c>
      <c r="AN75" s="61">
        <f t="shared" si="59"/>
        <v>87</v>
      </c>
      <c r="AO75" s="40">
        <f t="shared" si="73"/>
        <v>0</v>
      </c>
      <c r="AP75" s="40">
        <f t="shared" si="74"/>
        <v>-2925.384019312803</v>
      </c>
      <c r="AQ75" s="44">
        <f t="shared" si="75"/>
        <v>84836.136560071289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49</v>
      </c>
      <c r="G76" s="35">
        <f>SUMIFS(WORKING!$AC$3:$AC$6802,WORKING!$A$3:$A$6802,Results!$D$3,WORKING!$B$3:$B$6802,Results!A76,WORKING!$C$3:$C$6802,Results!C76)/1000</f>
        <v>43589.17543000001</v>
      </c>
      <c r="H76" s="35">
        <f t="shared" si="60"/>
        <v>889.57500877551047</v>
      </c>
      <c r="I76" s="187">
        <v>49</v>
      </c>
      <c r="J76" s="212" t="s">
        <v>754</v>
      </c>
      <c r="K76" s="217">
        <f t="shared" si="61"/>
        <v>889.57500877551047</v>
      </c>
      <c r="L76" s="34">
        <f t="shared" si="54"/>
        <v>49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932.23284748364006</v>
      </c>
      <c r="N76" s="57">
        <v>18</v>
      </c>
      <c r="O76" s="57">
        <v>1</v>
      </c>
      <c r="P76" s="61">
        <f t="shared" si="55"/>
        <v>66</v>
      </c>
      <c r="Q76" s="40">
        <f t="shared" si="62"/>
        <v>16780.191254705522</v>
      </c>
      <c r="R76" s="40">
        <f t="shared" si="63"/>
        <v>-932.23284748364006</v>
      </c>
      <c r="S76" s="44">
        <f t="shared" si="64"/>
        <v>61527.367933920243</v>
      </c>
      <c r="T76" s="35">
        <f t="shared" si="65"/>
        <v>66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1002.4708958750704</v>
      </c>
      <c r="V76" s="57">
        <v>0</v>
      </c>
      <c r="W76" s="57">
        <v>1</v>
      </c>
      <c r="X76" s="61">
        <f t="shared" si="56"/>
        <v>65</v>
      </c>
      <c r="Y76" s="40">
        <f t="shared" si="66"/>
        <v>0</v>
      </c>
      <c r="Z76" s="40">
        <f t="shared" si="67"/>
        <v>-1002.4708958750704</v>
      </c>
      <c r="AA76" s="44">
        <f t="shared" si="68"/>
        <v>65160.608231879574</v>
      </c>
      <c r="AB76" s="35">
        <f t="shared" si="69"/>
        <v>65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1076.9839699735958</v>
      </c>
      <c r="AD76" s="57">
        <v>0</v>
      </c>
      <c r="AE76" s="57">
        <v>1</v>
      </c>
      <c r="AF76" s="61">
        <f t="shared" si="57"/>
        <v>64</v>
      </c>
      <c r="AG76" s="40">
        <f t="shared" si="70"/>
        <v>0</v>
      </c>
      <c r="AH76" s="40">
        <f t="shared" si="71"/>
        <v>-1076.9839699735958</v>
      </c>
      <c r="AI76" s="44">
        <f t="shared" si="72"/>
        <v>68926.97407831013</v>
      </c>
      <c r="AJ76" s="35">
        <f t="shared" si="58"/>
        <v>64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1154.8504097777075</v>
      </c>
      <c r="AL76" s="57">
        <v>0</v>
      </c>
      <c r="AM76" s="57">
        <v>0</v>
      </c>
      <c r="AN76" s="61">
        <f t="shared" si="59"/>
        <v>64</v>
      </c>
      <c r="AO76" s="40">
        <f t="shared" si="73"/>
        <v>0</v>
      </c>
      <c r="AP76" s="40">
        <f t="shared" si="74"/>
        <v>0</v>
      </c>
      <c r="AQ76" s="44">
        <f t="shared" si="75"/>
        <v>73910.426225773277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23</v>
      </c>
      <c r="G77" s="35">
        <f>SUMIFS(WORKING!$AC$3:$AC$6802,WORKING!$A$3:$A$6802,Results!$D$3,WORKING!$B$3:$B$6802,Results!A77,WORKING!$C$3:$C$6802,Results!C77)/1000</f>
        <v>26374.221479999997</v>
      </c>
      <c r="H77" s="35">
        <f t="shared" si="60"/>
        <v>1146.7052817391302</v>
      </c>
      <c r="I77" s="187">
        <v>23</v>
      </c>
      <c r="J77" s="212" t="s">
        <v>754</v>
      </c>
      <c r="K77" s="217">
        <f t="shared" si="61"/>
        <v>1146.7052817391302</v>
      </c>
      <c r="L77" s="34">
        <f t="shared" si="54"/>
        <v>23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1201.7793000150191</v>
      </c>
      <c r="N77" s="57">
        <v>10</v>
      </c>
      <c r="O77" s="57">
        <v>1</v>
      </c>
      <c r="P77" s="61">
        <f t="shared" si="55"/>
        <v>32</v>
      </c>
      <c r="Q77" s="40">
        <f t="shared" si="62"/>
        <v>12017.793000150192</v>
      </c>
      <c r="R77" s="40">
        <f t="shared" si="63"/>
        <v>-1201.7793000150191</v>
      </c>
      <c r="S77" s="44">
        <f t="shared" si="64"/>
        <v>38456.937600480611</v>
      </c>
      <c r="T77" s="35">
        <f t="shared" si="65"/>
        <v>32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1292.4185101037631</v>
      </c>
      <c r="V77" s="57">
        <v>0</v>
      </c>
      <c r="W77" s="57">
        <v>4</v>
      </c>
      <c r="X77" s="61">
        <f t="shared" si="56"/>
        <v>28</v>
      </c>
      <c r="Y77" s="40">
        <f t="shared" si="66"/>
        <v>0</v>
      </c>
      <c r="Z77" s="40">
        <f t="shared" si="67"/>
        <v>-5169.6740404150523</v>
      </c>
      <c r="AA77" s="44">
        <f t="shared" si="68"/>
        <v>36187.718282905364</v>
      </c>
      <c r="AB77" s="35">
        <f t="shared" si="69"/>
        <v>28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1388.5825854191075</v>
      </c>
      <c r="AD77" s="57">
        <v>0</v>
      </c>
      <c r="AE77" s="57">
        <v>1</v>
      </c>
      <c r="AF77" s="61">
        <f t="shared" si="57"/>
        <v>27</v>
      </c>
      <c r="AG77" s="40">
        <f t="shared" si="70"/>
        <v>0</v>
      </c>
      <c r="AH77" s="40">
        <f t="shared" si="71"/>
        <v>-1388.5825854191075</v>
      </c>
      <c r="AI77" s="44">
        <f t="shared" si="72"/>
        <v>37491.729806315903</v>
      </c>
      <c r="AJ77" s="35">
        <f t="shared" si="58"/>
        <v>27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1489.0843061909709</v>
      </c>
      <c r="AL77" s="57">
        <v>0</v>
      </c>
      <c r="AM77" s="57">
        <v>0</v>
      </c>
      <c r="AN77" s="61">
        <f t="shared" si="59"/>
        <v>27</v>
      </c>
      <c r="AO77" s="40">
        <f t="shared" si="73"/>
        <v>0</v>
      </c>
      <c r="AP77" s="40">
        <f t="shared" si="74"/>
        <v>0</v>
      </c>
      <c r="AQ77" s="44">
        <f t="shared" si="75"/>
        <v>40205.276267156216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6</v>
      </c>
      <c r="G78" s="35">
        <f>SUMIFS(WORKING!$AC$3:$AC$6802,WORKING!$A$3:$A$6802,Results!$D$3,WORKING!$B$3:$B$6802,Results!A78,WORKING!$C$3:$C$6802,Results!C78)/1000</f>
        <v>6215.8700500000004</v>
      </c>
      <c r="H78" s="35">
        <f t="shared" si="60"/>
        <v>1035.9783416666667</v>
      </c>
      <c r="I78" s="187">
        <v>6</v>
      </c>
      <c r="J78" s="212" t="s">
        <v>754</v>
      </c>
      <c r="K78" s="217">
        <f t="shared" si="61"/>
        <v>1035.9783416666667</v>
      </c>
      <c r="L78" s="34">
        <f t="shared" si="54"/>
        <v>6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1085.6385188822667</v>
      </c>
      <c r="N78" s="57">
        <v>1</v>
      </c>
      <c r="O78" s="57">
        <v>0</v>
      </c>
      <c r="P78" s="61">
        <f t="shared" si="55"/>
        <v>7</v>
      </c>
      <c r="Q78" s="40">
        <f t="shared" si="62"/>
        <v>1085.6385188822667</v>
      </c>
      <c r="R78" s="40">
        <f t="shared" si="63"/>
        <v>0</v>
      </c>
      <c r="S78" s="44">
        <f t="shared" si="64"/>
        <v>7599.4696321758665</v>
      </c>
      <c r="T78" s="35">
        <f t="shared" si="65"/>
        <v>7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1167.4152316703344</v>
      </c>
      <c r="V78" s="57">
        <v>0</v>
      </c>
      <c r="W78" s="57">
        <v>1</v>
      </c>
      <c r="X78" s="61">
        <f t="shared" si="56"/>
        <v>6</v>
      </c>
      <c r="Y78" s="40">
        <f t="shared" si="66"/>
        <v>0</v>
      </c>
      <c r="Z78" s="40">
        <f t="shared" si="67"/>
        <v>-1167.4152316703344</v>
      </c>
      <c r="AA78" s="44">
        <f t="shared" si="68"/>
        <v>7004.4913900220063</v>
      </c>
      <c r="AB78" s="35">
        <f t="shared" si="69"/>
        <v>6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1254.1675558256172</v>
      </c>
      <c r="AD78" s="57">
        <v>0</v>
      </c>
      <c r="AE78" s="57">
        <v>0</v>
      </c>
      <c r="AF78" s="61">
        <f t="shared" si="57"/>
        <v>6</v>
      </c>
      <c r="AG78" s="40">
        <f t="shared" si="70"/>
        <v>0</v>
      </c>
      <c r="AH78" s="40">
        <f t="shared" si="71"/>
        <v>0</v>
      </c>
      <c r="AI78" s="44">
        <f t="shared" si="72"/>
        <v>7525.0053349537029</v>
      </c>
      <c r="AJ78" s="35">
        <f t="shared" si="58"/>
        <v>6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1344.8219697455825</v>
      </c>
      <c r="AL78" s="57">
        <v>0</v>
      </c>
      <c r="AM78" s="57">
        <v>0</v>
      </c>
      <c r="AN78" s="61">
        <f t="shared" si="59"/>
        <v>6</v>
      </c>
      <c r="AO78" s="40">
        <f t="shared" si="73"/>
        <v>0</v>
      </c>
      <c r="AP78" s="40">
        <f t="shared" si="74"/>
        <v>0</v>
      </c>
      <c r="AQ78" s="44">
        <f t="shared" si="75"/>
        <v>8068.9318184734948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5</v>
      </c>
      <c r="G79" s="35">
        <f>SUMIFS(WORKING!$AC$3:$AC$6802,WORKING!$A$3:$A$6802,Results!$D$3,WORKING!$B$3:$B$6802,Results!A79,WORKING!$C$3:$C$6802,Results!C79)/1000</f>
        <v>11514.244710000001</v>
      </c>
      <c r="H79" s="35">
        <f t="shared" si="60"/>
        <v>2302.8489420000001</v>
      </c>
      <c r="I79" s="187">
        <v>6</v>
      </c>
      <c r="J79" s="212" t="s">
        <v>754</v>
      </c>
      <c r="K79" s="217">
        <f t="shared" si="61"/>
        <v>1919.0407850000001</v>
      </c>
      <c r="L79" s="34">
        <f t="shared" si="54"/>
        <v>6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2011.7762724167751</v>
      </c>
      <c r="N79" s="57">
        <v>0</v>
      </c>
      <c r="O79" s="57">
        <v>0</v>
      </c>
      <c r="P79" s="61">
        <f t="shared" si="55"/>
        <v>6</v>
      </c>
      <c r="Q79" s="40">
        <f t="shared" si="62"/>
        <v>0</v>
      </c>
      <c r="R79" s="40">
        <f t="shared" si="63"/>
        <v>0</v>
      </c>
      <c r="S79" s="44">
        <f t="shared" si="64"/>
        <v>12070.657634500651</v>
      </c>
      <c r="T79" s="35">
        <f t="shared" si="65"/>
        <v>6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2164.1168284920564</v>
      </c>
      <c r="V79" s="57">
        <v>0</v>
      </c>
      <c r="W79" s="57">
        <v>0</v>
      </c>
      <c r="X79" s="61">
        <f t="shared" si="56"/>
        <v>6</v>
      </c>
      <c r="Y79" s="40">
        <f t="shared" si="66"/>
        <v>0</v>
      </c>
      <c r="Z79" s="40">
        <f t="shared" si="67"/>
        <v>0</v>
      </c>
      <c r="AA79" s="44">
        <f t="shared" si="68"/>
        <v>12984.700970952337</v>
      </c>
      <c r="AB79" s="35">
        <f t="shared" si="69"/>
        <v>6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2325.7970620662904</v>
      </c>
      <c r="AD79" s="57">
        <v>0</v>
      </c>
      <c r="AE79" s="57">
        <v>0</v>
      </c>
      <c r="AF79" s="61">
        <f t="shared" si="57"/>
        <v>6</v>
      </c>
      <c r="AG79" s="40">
        <f t="shared" si="70"/>
        <v>0</v>
      </c>
      <c r="AH79" s="40">
        <f t="shared" si="71"/>
        <v>0</v>
      </c>
      <c r="AI79" s="44">
        <f t="shared" si="72"/>
        <v>13954.782372397742</v>
      </c>
      <c r="AJ79" s="35">
        <f t="shared" si="58"/>
        <v>6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2494.8357585992644</v>
      </c>
      <c r="AL79" s="57">
        <v>0</v>
      </c>
      <c r="AM79" s="57">
        <v>0</v>
      </c>
      <c r="AN79" s="61">
        <f t="shared" si="59"/>
        <v>6</v>
      </c>
      <c r="AO79" s="40">
        <f t="shared" si="73"/>
        <v>0</v>
      </c>
      <c r="AP79" s="40">
        <f t="shared" si="74"/>
        <v>0</v>
      </c>
      <c r="AQ79" s="44">
        <f t="shared" si="75"/>
        <v>14969.014551595586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1714</v>
      </c>
      <c r="G84" s="41">
        <f>SUM(G64:G83)</f>
        <v>634347.42827999999</v>
      </c>
      <c r="H84" s="41">
        <f>IFERROR(G84/F84,0)</f>
        <v>370.09768277712953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1717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634347.42827999999</v>
      </c>
      <c r="K84" s="41">
        <f>IFERROR(J84/I84,"")</f>
        <v>369.45103569015725</v>
      </c>
      <c r="L84" s="41">
        <f>SUM(L64:L83)</f>
        <v>1717</v>
      </c>
      <c r="M84" s="41">
        <f>IFERROR(S84/P84,0)</f>
        <v>411.61062356922059</v>
      </c>
      <c r="N84" s="41">
        <f t="shared" ref="N84:T84" si="98">SUM(N64:N83)</f>
        <v>247</v>
      </c>
      <c r="O84" s="41">
        <f t="shared" si="98"/>
        <v>51</v>
      </c>
      <c r="P84" s="41">
        <f t="shared" si="98"/>
        <v>1913</v>
      </c>
      <c r="Q84" s="41">
        <f t="shared" si="98"/>
        <v>119828.04461101443</v>
      </c>
      <c r="R84" s="41">
        <f t="shared" si="98"/>
        <v>-19882.435218176655</v>
      </c>
      <c r="S84" s="45">
        <f t="shared" si="98"/>
        <v>787411.12288791896</v>
      </c>
      <c r="T84" s="41">
        <f t="shared" si="98"/>
        <v>1913</v>
      </c>
      <c r="U84" s="41">
        <f>IFERROR(AA84/X84,0)</f>
        <v>450.28177006451062</v>
      </c>
      <c r="V84" s="41">
        <f t="shared" ref="V84:AB84" si="99">SUM(V64:V83)</f>
        <v>0</v>
      </c>
      <c r="W84" s="41">
        <f t="shared" si="99"/>
        <v>230</v>
      </c>
      <c r="X84" s="41">
        <f t="shared" si="99"/>
        <v>1683</v>
      </c>
      <c r="Y84" s="41">
        <f t="shared" si="99"/>
        <v>0</v>
      </c>
      <c r="Z84" s="41">
        <f t="shared" si="99"/>
        <v>-95525.962444644218</v>
      </c>
      <c r="AA84" s="45">
        <f t="shared" si="99"/>
        <v>757824.21901857143</v>
      </c>
      <c r="AB84" s="41">
        <f t="shared" si="99"/>
        <v>1683</v>
      </c>
      <c r="AC84" s="41">
        <f>IFERROR(AI84/AF84,0)</f>
        <v>484.96145538282212</v>
      </c>
      <c r="AD84" s="41">
        <f t="shared" ref="AD84:AJ84" si="100">SUM(AD64:AD83)</f>
        <v>0</v>
      </c>
      <c r="AE84" s="41">
        <f t="shared" si="100"/>
        <v>121</v>
      </c>
      <c r="AF84" s="41">
        <f t="shared" si="100"/>
        <v>1562</v>
      </c>
      <c r="AG84" s="41">
        <f t="shared" si="100"/>
        <v>0</v>
      </c>
      <c r="AH84" s="41">
        <f t="shared" si="100"/>
        <v>-62947.977569849761</v>
      </c>
      <c r="AI84" s="45">
        <f t="shared" si="100"/>
        <v>757509.79330796818</v>
      </c>
      <c r="AJ84" s="41">
        <f t="shared" si="100"/>
        <v>1562</v>
      </c>
      <c r="AK84" s="41">
        <f>IFERROR(AQ84/AN84,0)</f>
        <v>524.62266468886446</v>
      </c>
      <c r="AL84" s="41">
        <f t="shared" ref="AL84:AQ84" si="101">SUM(AL64:AL83)</f>
        <v>0</v>
      </c>
      <c r="AM84" s="41">
        <f t="shared" si="101"/>
        <v>10</v>
      </c>
      <c r="AN84" s="41">
        <f t="shared" si="101"/>
        <v>1552</v>
      </c>
      <c r="AO84" s="41">
        <f t="shared" si="101"/>
        <v>0</v>
      </c>
      <c r="AP84" s="41">
        <f t="shared" si="101"/>
        <v>-4295.5931881921906</v>
      </c>
      <c r="AQ84" s="45">
        <f t="shared" si="101"/>
        <v>814214.3755971177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749569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787194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835207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898682.73200000008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-37842.122887918958</v>
      </c>
      <c r="T86" s="39"/>
      <c r="U86" s="39"/>
      <c r="V86" s="53"/>
      <c r="W86" s="53"/>
      <c r="X86" s="110"/>
      <c r="Y86" s="39"/>
      <c r="Z86" s="39"/>
      <c r="AA86" s="54">
        <f>AA85-AA84</f>
        <v>29369.780981428572</v>
      </c>
      <c r="AB86" s="39"/>
      <c r="AC86" s="53"/>
      <c r="AD86" s="53"/>
      <c r="AE86" s="110"/>
      <c r="AF86" s="39"/>
      <c r="AG86" s="39"/>
      <c r="AH86" s="39"/>
      <c r="AI86" s="54">
        <f>AI85-AI84</f>
        <v>77697.206692031818</v>
      </c>
      <c r="AJ86" s="53"/>
      <c r="AK86" s="53"/>
      <c r="AL86" s="110"/>
      <c r="AM86" s="110"/>
      <c r="AN86" s="110"/>
      <c r="AO86" s="110"/>
      <c r="AP86" s="111"/>
      <c r="AQ86" s="54">
        <f>AQ85-AQ84</f>
        <v>84468.356402882375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Water Planning and Information Management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58</v>
      </c>
      <c r="G93" s="35">
        <f>SUMIFS(WORKING!$AC$3:$AC$6802,WORKING!$A$3:$A$6802,Results!$D$3,WORKING!$B$3:$B$6802,Results!A93,WORKING!$C$3:$C$6802,Results!C93)/1000</f>
        <v>6485.7119499999999</v>
      </c>
      <c r="H93" s="35">
        <f t="shared" ref="H93:H111" si="108">IFERROR(G93/F93,0)</f>
        <v>111.82261982758621</v>
      </c>
      <c r="I93" s="187">
        <v>58</v>
      </c>
      <c r="J93" s="212" t="s">
        <v>754</v>
      </c>
      <c r="K93" s="217">
        <f t="shared" ref="K93:K111" si="109">IFERROR(IF(J93="",G93,J93)/IF(I93="",F93,I93),"")</f>
        <v>111.82261982758621</v>
      </c>
      <c r="L93" s="34">
        <f t="shared" si="102"/>
        <v>58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121.06924316657529</v>
      </c>
      <c r="N93" s="57">
        <v>5</v>
      </c>
      <c r="O93" s="57">
        <v>1</v>
      </c>
      <c r="P93" s="61">
        <f t="shared" si="103"/>
        <v>62</v>
      </c>
      <c r="Q93" s="40">
        <f t="shared" ref="Q93:Q111" si="110">M93*N93</f>
        <v>605.3462158328764</v>
      </c>
      <c r="R93" s="40">
        <f t="shared" ref="R93:R111" si="111">-M93*O93</f>
        <v>-121.06924316657529</v>
      </c>
      <c r="S93" s="44">
        <f t="shared" ref="S93:S111" si="112">M93*P93</f>
        <v>7506.2930763276681</v>
      </c>
      <c r="T93" s="35">
        <f t="shared" ref="T93:T111" si="113">P93</f>
        <v>62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131.16096038857026</v>
      </c>
      <c r="V93" s="57">
        <v>0</v>
      </c>
      <c r="W93" s="57">
        <v>0</v>
      </c>
      <c r="X93" s="61">
        <f t="shared" si="104"/>
        <v>62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8131.9795440913558</v>
      </c>
      <c r="AB93" s="35">
        <f t="shared" ref="AB93:AB111" si="117">X93</f>
        <v>62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141.96113556390173</v>
      </c>
      <c r="AD93" s="57">
        <v>0</v>
      </c>
      <c r="AE93" s="57">
        <v>0</v>
      </c>
      <c r="AF93" s="61">
        <f t="shared" si="105"/>
        <v>62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8801.5904049619076</v>
      </c>
      <c r="AJ93" s="35">
        <f t="shared" si="106"/>
        <v>62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153.36329611948548</v>
      </c>
      <c r="AL93" s="57">
        <v>0</v>
      </c>
      <c r="AM93" s="57">
        <v>0</v>
      </c>
      <c r="AN93" s="61">
        <f t="shared" si="107"/>
        <v>62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9508.5243594081003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144</v>
      </c>
      <c r="G94" s="35">
        <f>SUMIFS(WORKING!$AC$3:$AC$6802,WORKING!$A$3:$A$6802,Results!$D$3,WORKING!$B$3:$B$6802,Results!A94,WORKING!$C$3:$C$6802,Results!C94)/1000</f>
        <v>19260.379830000002</v>
      </c>
      <c r="H94" s="35">
        <f t="shared" si="108"/>
        <v>133.75263770833334</v>
      </c>
      <c r="I94" s="187">
        <v>144</v>
      </c>
      <c r="J94" s="212" t="s">
        <v>754</v>
      </c>
      <c r="K94" s="217">
        <f t="shared" si="109"/>
        <v>133.75263770833334</v>
      </c>
      <c r="L94" s="34">
        <f t="shared" si="102"/>
        <v>144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144.98864931076838</v>
      </c>
      <c r="N94" s="57">
        <v>17</v>
      </c>
      <c r="O94" s="57">
        <v>1</v>
      </c>
      <c r="P94" s="61">
        <f t="shared" si="103"/>
        <v>160</v>
      </c>
      <c r="Q94" s="40">
        <f t="shared" si="110"/>
        <v>2464.8070382830624</v>
      </c>
      <c r="R94" s="40">
        <f t="shared" si="111"/>
        <v>-144.98864931076838</v>
      </c>
      <c r="S94" s="44">
        <f t="shared" si="112"/>
        <v>23198.183889722939</v>
      </c>
      <c r="T94" s="35">
        <f t="shared" si="113"/>
        <v>160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157.1281981485206</v>
      </c>
      <c r="V94" s="57">
        <v>0</v>
      </c>
      <c r="W94" s="57">
        <v>10</v>
      </c>
      <c r="X94" s="61">
        <f t="shared" si="104"/>
        <v>150</v>
      </c>
      <c r="Y94" s="40">
        <f t="shared" si="114"/>
        <v>0</v>
      </c>
      <c r="Z94" s="40">
        <f t="shared" si="115"/>
        <v>-1571.281981485206</v>
      </c>
      <c r="AA94" s="44">
        <f t="shared" si="116"/>
        <v>23569.229722278091</v>
      </c>
      <c r="AB94" s="35">
        <f t="shared" si="117"/>
        <v>150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170.12510440373853</v>
      </c>
      <c r="AD94" s="57">
        <v>0</v>
      </c>
      <c r="AE94" s="57">
        <v>1</v>
      </c>
      <c r="AF94" s="61">
        <f t="shared" si="105"/>
        <v>149</v>
      </c>
      <c r="AG94" s="40">
        <f t="shared" si="118"/>
        <v>0</v>
      </c>
      <c r="AH94" s="40">
        <f t="shared" si="119"/>
        <v>-170.12510440373853</v>
      </c>
      <c r="AI94" s="44">
        <f t="shared" si="120"/>
        <v>25348.640556157043</v>
      </c>
      <c r="AJ94" s="35">
        <f t="shared" si="106"/>
        <v>149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183.85262539983592</v>
      </c>
      <c r="AL94" s="57">
        <v>0</v>
      </c>
      <c r="AM94" s="57">
        <v>0</v>
      </c>
      <c r="AN94" s="61">
        <f t="shared" si="107"/>
        <v>149</v>
      </c>
      <c r="AO94" s="40">
        <f t="shared" si="121"/>
        <v>0</v>
      </c>
      <c r="AP94" s="40">
        <f t="shared" si="122"/>
        <v>0</v>
      </c>
      <c r="AQ94" s="44">
        <f t="shared" si="123"/>
        <v>27394.041184575552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42</v>
      </c>
      <c r="G95" s="35">
        <f>SUMIFS(WORKING!$AC$3:$AC$6802,WORKING!$A$3:$A$6802,Results!$D$3,WORKING!$B$3:$B$6802,Results!A95,WORKING!$C$3:$C$6802,Results!C95)/1000</f>
        <v>6811.8339499999993</v>
      </c>
      <c r="H95" s="35">
        <f t="shared" si="108"/>
        <v>162.18652261904759</v>
      </c>
      <c r="I95" s="187">
        <v>42</v>
      </c>
      <c r="J95" s="212" t="s">
        <v>754</v>
      </c>
      <c r="K95" s="217">
        <f t="shared" si="109"/>
        <v>162.18652261904759</v>
      </c>
      <c r="L95" s="34">
        <f t="shared" si="102"/>
        <v>42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176.02064936340244</v>
      </c>
      <c r="N95" s="57">
        <v>7</v>
      </c>
      <c r="O95" s="57">
        <v>0</v>
      </c>
      <c r="P95" s="61">
        <f t="shared" si="103"/>
        <v>49</v>
      </c>
      <c r="Q95" s="40">
        <f t="shared" si="110"/>
        <v>1232.144545543817</v>
      </c>
      <c r="R95" s="40">
        <f t="shared" si="111"/>
        <v>0</v>
      </c>
      <c r="S95" s="44">
        <f t="shared" si="112"/>
        <v>8625.011818806719</v>
      </c>
      <c r="T95" s="35">
        <f t="shared" si="113"/>
        <v>49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190.82301767660428</v>
      </c>
      <c r="V95" s="57">
        <v>0</v>
      </c>
      <c r="W95" s="57">
        <v>9</v>
      </c>
      <c r="X95" s="61">
        <f t="shared" si="104"/>
        <v>40</v>
      </c>
      <c r="Y95" s="40">
        <f t="shared" si="114"/>
        <v>0</v>
      </c>
      <c r="Z95" s="40">
        <f t="shared" si="115"/>
        <v>-1717.4071590894384</v>
      </c>
      <c r="AA95" s="44">
        <f t="shared" si="116"/>
        <v>7632.9207070641714</v>
      </c>
      <c r="AB95" s="35">
        <f t="shared" si="117"/>
        <v>40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206.6769574175525</v>
      </c>
      <c r="AD95" s="57">
        <v>0</v>
      </c>
      <c r="AE95" s="57">
        <v>0</v>
      </c>
      <c r="AF95" s="61">
        <f t="shared" si="105"/>
        <v>40</v>
      </c>
      <c r="AG95" s="40">
        <f t="shared" si="118"/>
        <v>0</v>
      </c>
      <c r="AH95" s="40">
        <f t="shared" si="119"/>
        <v>0</v>
      </c>
      <c r="AI95" s="44">
        <f t="shared" si="120"/>
        <v>8267.0782967021005</v>
      </c>
      <c r="AJ95" s="35">
        <f t="shared" si="106"/>
        <v>40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223.42951280800165</v>
      </c>
      <c r="AL95" s="57">
        <v>0</v>
      </c>
      <c r="AM95" s="57">
        <v>0</v>
      </c>
      <c r="AN95" s="61">
        <f t="shared" si="107"/>
        <v>40</v>
      </c>
      <c r="AO95" s="40">
        <f t="shared" si="121"/>
        <v>0</v>
      </c>
      <c r="AP95" s="40">
        <f t="shared" si="122"/>
        <v>0</v>
      </c>
      <c r="AQ95" s="44">
        <f t="shared" si="123"/>
        <v>8937.1805123200666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94</v>
      </c>
      <c r="G96" s="35">
        <f>SUMIFS(WORKING!$AC$3:$AC$6802,WORKING!$A$3:$A$6802,Results!$D$3,WORKING!$B$3:$B$6802,Results!A96,WORKING!$C$3:$C$6802,Results!C96)/1000</f>
        <v>17406.291300000004</v>
      </c>
      <c r="H96" s="35">
        <f t="shared" si="108"/>
        <v>185.17331170212771</v>
      </c>
      <c r="I96" s="187">
        <v>94</v>
      </c>
      <c r="J96" s="212" t="s">
        <v>754</v>
      </c>
      <c r="K96" s="217">
        <f t="shared" si="109"/>
        <v>185.17331170212771</v>
      </c>
      <c r="L96" s="34">
        <f t="shared" si="102"/>
        <v>94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201.15727707788656</v>
      </c>
      <c r="N96" s="57">
        <v>24</v>
      </c>
      <c r="O96" s="57">
        <v>1</v>
      </c>
      <c r="P96" s="61">
        <f t="shared" si="103"/>
        <v>117</v>
      </c>
      <c r="Q96" s="40">
        <f t="shared" si="110"/>
        <v>4827.7746498692777</v>
      </c>
      <c r="R96" s="40">
        <f t="shared" si="111"/>
        <v>-201.15727707788656</v>
      </c>
      <c r="S96" s="44">
        <f t="shared" si="112"/>
        <v>23535.401418112728</v>
      </c>
      <c r="T96" s="35">
        <f t="shared" si="113"/>
        <v>117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218.13211668250366</v>
      </c>
      <c r="V96" s="57">
        <v>0</v>
      </c>
      <c r="W96" s="57">
        <v>17</v>
      </c>
      <c r="X96" s="61">
        <f t="shared" si="104"/>
        <v>100</v>
      </c>
      <c r="Y96" s="40">
        <f t="shared" si="114"/>
        <v>0</v>
      </c>
      <c r="Z96" s="40">
        <f t="shared" si="115"/>
        <v>-3708.2459836025623</v>
      </c>
      <c r="AA96" s="44">
        <f t="shared" si="116"/>
        <v>21813.211668250366</v>
      </c>
      <c r="AB96" s="35">
        <f t="shared" si="117"/>
        <v>100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236.31844604470692</v>
      </c>
      <c r="AD96" s="57">
        <v>0</v>
      </c>
      <c r="AE96" s="57">
        <v>1</v>
      </c>
      <c r="AF96" s="61">
        <f t="shared" si="105"/>
        <v>99</v>
      </c>
      <c r="AG96" s="40">
        <f t="shared" si="118"/>
        <v>0</v>
      </c>
      <c r="AH96" s="40">
        <f t="shared" si="119"/>
        <v>-236.31844604470692</v>
      </c>
      <c r="AI96" s="44">
        <f t="shared" si="120"/>
        <v>23395.526158425986</v>
      </c>
      <c r="AJ96" s="35">
        <f t="shared" si="106"/>
        <v>99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255.5422871515652</v>
      </c>
      <c r="AL96" s="57">
        <v>0</v>
      </c>
      <c r="AM96" s="57">
        <v>0</v>
      </c>
      <c r="AN96" s="61">
        <f t="shared" si="107"/>
        <v>99</v>
      </c>
      <c r="AO96" s="40">
        <f t="shared" si="121"/>
        <v>0</v>
      </c>
      <c r="AP96" s="40">
        <f t="shared" si="122"/>
        <v>0</v>
      </c>
      <c r="AQ96" s="44">
        <f t="shared" si="123"/>
        <v>25298.686428004956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65</v>
      </c>
      <c r="G97" s="35">
        <f>SUMIFS(WORKING!$AC$3:$AC$6802,WORKING!$A$3:$A$6802,Results!$D$3,WORKING!$B$3:$B$6802,Results!A97,WORKING!$C$3:$C$6802,Results!C97)/1000</f>
        <v>13683.012520000002</v>
      </c>
      <c r="H97" s="35">
        <f t="shared" si="108"/>
        <v>210.50788492307694</v>
      </c>
      <c r="I97" s="187">
        <v>64</v>
      </c>
      <c r="J97" s="212" t="s">
        <v>754</v>
      </c>
      <c r="K97" s="217">
        <f t="shared" si="109"/>
        <v>213.79707062500003</v>
      </c>
      <c r="L97" s="34">
        <f t="shared" si="102"/>
        <v>64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232.45129955043046</v>
      </c>
      <c r="N97" s="57">
        <v>4</v>
      </c>
      <c r="O97" s="57">
        <v>1</v>
      </c>
      <c r="P97" s="61">
        <f t="shared" si="103"/>
        <v>67</v>
      </c>
      <c r="Q97" s="40">
        <f t="shared" si="110"/>
        <v>929.80519820172185</v>
      </c>
      <c r="R97" s="40">
        <f t="shared" si="111"/>
        <v>-232.45129955043046</v>
      </c>
      <c r="S97" s="44">
        <f t="shared" si="112"/>
        <v>15574.237069878842</v>
      </c>
      <c r="T97" s="35">
        <f t="shared" si="113"/>
        <v>67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252.12912879597121</v>
      </c>
      <c r="V97" s="57">
        <v>0</v>
      </c>
      <c r="W97" s="57">
        <v>0</v>
      </c>
      <c r="X97" s="61">
        <f t="shared" si="104"/>
        <v>67</v>
      </c>
      <c r="Y97" s="40">
        <f t="shared" si="114"/>
        <v>0</v>
      </c>
      <c r="Z97" s="40">
        <f t="shared" si="115"/>
        <v>0</v>
      </c>
      <c r="AA97" s="44">
        <f t="shared" si="116"/>
        <v>16892.65162933007</v>
      </c>
      <c r="AB97" s="35">
        <f t="shared" si="117"/>
        <v>67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273.21728124665117</v>
      </c>
      <c r="AD97" s="57">
        <v>0</v>
      </c>
      <c r="AE97" s="57">
        <v>0</v>
      </c>
      <c r="AF97" s="61">
        <f t="shared" si="105"/>
        <v>67</v>
      </c>
      <c r="AG97" s="40">
        <f t="shared" si="118"/>
        <v>0</v>
      </c>
      <c r="AH97" s="40">
        <f t="shared" si="119"/>
        <v>0</v>
      </c>
      <c r="AI97" s="44">
        <f t="shared" si="120"/>
        <v>18305.557843525628</v>
      </c>
      <c r="AJ97" s="35">
        <f t="shared" si="106"/>
        <v>67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295.51556673793147</v>
      </c>
      <c r="AL97" s="57">
        <v>0</v>
      </c>
      <c r="AM97" s="57">
        <v>0</v>
      </c>
      <c r="AN97" s="61">
        <f t="shared" si="107"/>
        <v>67</v>
      </c>
      <c r="AO97" s="40">
        <f t="shared" si="121"/>
        <v>0</v>
      </c>
      <c r="AP97" s="40">
        <f t="shared" si="122"/>
        <v>0</v>
      </c>
      <c r="AQ97" s="44">
        <f t="shared" si="123"/>
        <v>19799.542971441409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132</v>
      </c>
      <c r="G98" s="35">
        <f>SUMIFS(WORKING!$AC$3:$AC$6802,WORKING!$A$3:$A$6802,Results!$D$3,WORKING!$B$3:$B$6802,Results!A98,WORKING!$C$3:$C$6802,Results!C98)/1000</f>
        <v>33197.544090000003</v>
      </c>
      <c r="H98" s="35">
        <f t="shared" si="108"/>
        <v>251.49654613636366</v>
      </c>
      <c r="I98" s="187">
        <v>132</v>
      </c>
      <c r="J98" s="212" t="s">
        <v>754</v>
      </c>
      <c r="K98" s="217">
        <f t="shared" si="109"/>
        <v>251.49654613636366</v>
      </c>
      <c r="L98" s="34">
        <f t="shared" si="102"/>
        <v>132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273.77617674859738</v>
      </c>
      <c r="N98" s="57">
        <v>7</v>
      </c>
      <c r="O98" s="57">
        <v>1</v>
      </c>
      <c r="P98" s="61">
        <f t="shared" si="103"/>
        <v>138</v>
      </c>
      <c r="Q98" s="40">
        <f t="shared" si="110"/>
        <v>1916.4332372401816</v>
      </c>
      <c r="R98" s="40">
        <f t="shared" si="111"/>
        <v>-273.77617674859738</v>
      </c>
      <c r="S98" s="44">
        <f t="shared" si="112"/>
        <v>37781.112391306437</v>
      </c>
      <c r="T98" s="35">
        <f t="shared" si="113"/>
        <v>138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297.05744342892348</v>
      </c>
      <c r="V98" s="57">
        <v>0</v>
      </c>
      <c r="W98" s="57">
        <v>8</v>
      </c>
      <c r="X98" s="61">
        <f t="shared" si="104"/>
        <v>130</v>
      </c>
      <c r="Y98" s="40">
        <f t="shared" si="114"/>
        <v>0</v>
      </c>
      <c r="Z98" s="40">
        <f t="shared" si="115"/>
        <v>-2376.4595474313878</v>
      </c>
      <c r="AA98" s="44">
        <f t="shared" si="116"/>
        <v>38617.467645760051</v>
      </c>
      <c r="AB98" s="35">
        <f t="shared" si="117"/>
        <v>130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322.01732215820948</v>
      </c>
      <c r="AD98" s="57">
        <v>0</v>
      </c>
      <c r="AE98" s="57">
        <v>10</v>
      </c>
      <c r="AF98" s="61">
        <f t="shared" si="105"/>
        <v>120</v>
      </c>
      <c r="AG98" s="40">
        <f t="shared" si="118"/>
        <v>0</v>
      </c>
      <c r="AH98" s="40">
        <f t="shared" si="119"/>
        <v>-3220.1732215820948</v>
      </c>
      <c r="AI98" s="44">
        <f t="shared" si="120"/>
        <v>38642.078658985134</v>
      </c>
      <c r="AJ98" s="35">
        <f t="shared" si="106"/>
        <v>120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348.42147077140646</v>
      </c>
      <c r="AL98" s="57">
        <v>0</v>
      </c>
      <c r="AM98" s="57">
        <v>0</v>
      </c>
      <c r="AN98" s="61">
        <f t="shared" si="107"/>
        <v>120</v>
      </c>
      <c r="AO98" s="40">
        <f t="shared" si="121"/>
        <v>0</v>
      </c>
      <c r="AP98" s="40">
        <f t="shared" si="122"/>
        <v>0</v>
      </c>
      <c r="AQ98" s="44">
        <f t="shared" si="123"/>
        <v>41810.576492568776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51</v>
      </c>
      <c r="G99" s="35">
        <f>SUMIFS(WORKING!$AC$3:$AC$6802,WORKING!$A$3:$A$6802,Results!$D$3,WORKING!$B$3:$B$6802,Results!A99,WORKING!$C$3:$C$6802,Results!C99)/1000</f>
        <v>16245.15912</v>
      </c>
      <c r="H99" s="35">
        <f t="shared" si="108"/>
        <v>318.53253176470588</v>
      </c>
      <c r="I99" s="187">
        <v>51</v>
      </c>
      <c r="J99" s="212" t="s">
        <v>754</v>
      </c>
      <c r="K99" s="217">
        <f t="shared" si="109"/>
        <v>318.53253176470588</v>
      </c>
      <c r="L99" s="34">
        <f t="shared" si="102"/>
        <v>51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346.83976531684067</v>
      </c>
      <c r="N99" s="57">
        <v>6</v>
      </c>
      <c r="O99" s="57">
        <v>1</v>
      </c>
      <c r="P99" s="61">
        <f t="shared" si="103"/>
        <v>56</v>
      </c>
      <c r="Q99" s="40">
        <f t="shared" si="110"/>
        <v>2081.0385919010441</v>
      </c>
      <c r="R99" s="40">
        <f t="shared" si="111"/>
        <v>-346.83976531684067</v>
      </c>
      <c r="S99" s="44">
        <f t="shared" si="112"/>
        <v>19423.026857743076</v>
      </c>
      <c r="T99" s="35">
        <f t="shared" si="113"/>
        <v>56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376.36121723636131</v>
      </c>
      <c r="V99" s="57">
        <v>0</v>
      </c>
      <c r="W99" s="57">
        <v>0</v>
      </c>
      <c r="X99" s="61">
        <f t="shared" si="104"/>
        <v>56</v>
      </c>
      <c r="Y99" s="40">
        <f t="shared" si="114"/>
        <v>0</v>
      </c>
      <c r="Z99" s="40">
        <f t="shared" si="115"/>
        <v>0</v>
      </c>
      <c r="AA99" s="44">
        <f t="shared" si="116"/>
        <v>21076.228165236233</v>
      </c>
      <c r="AB99" s="35">
        <f t="shared" si="117"/>
        <v>56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408.01383383301828</v>
      </c>
      <c r="AD99" s="57">
        <v>0</v>
      </c>
      <c r="AE99" s="57">
        <v>0</v>
      </c>
      <c r="AF99" s="61">
        <f t="shared" si="105"/>
        <v>56</v>
      </c>
      <c r="AG99" s="40">
        <f t="shared" si="118"/>
        <v>0</v>
      </c>
      <c r="AH99" s="40">
        <f t="shared" si="119"/>
        <v>0</v>
      </c>
      <c r="AI99" s="44">
        <f t="shared" si="120"/>
        <v>22848.774694649022</v>
      </c>
      <c r="AJ99" s="35">
        <f t="shared" si="106"/>
        <v>56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441.50116893283308</v>
      </c>
      <c r="AL99" s="57">
        <v>0</v>
      </c>
      <c r="AM99" s="57">
        <v>0</v>
      </c>
      <c r="AN99" s="61">
        <f t="shared" si="107"/>
        <v>56</v>
      </c>
      <c r="AO99" s="40">
        <f t="shared" si="121"/>
        <v>0</v>
      </c>
      <c r="AP99" s="40">
        <f t="shared" si="122"/>
        <v>0</v>
      </c>
      <c r="AQ99" s="44">
        <f t="shared" si="123"/>
        <v>24724.065460238653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16</v>
      </c>
      <c r="G100" s="35">
        <f>SUMIFS(WORKING!$AC$3:$AC$6802,WORKING!$A$3:$A$6802,Results!$D$3,WORKING!$B$3:$B$6802,Results!A100,WORKING!$C$3:$C$6802,Results!C100)/1000</f>
        <v>6676.6662999999999</v>
      </c>
      <c r="H100" s="35">
        <f t="shared" si="108"/>
        <v>417.29164374999999</v>
      </c>
      <c r="I100" s="187">
        <v>16</v>
      </c>
      <c r="J100" s="212" t="s">
        <v>754</v>
      </c>
      <c r="K100" s="217">
        <f t="shared" si="109"/>
        <v>417.29164374999999</v>
      </c>
      <c r="L100" s="34">
        <f t="shared" si="102"/>
        <v>16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454.66459101690765</v>
      </c>
      <c r="N100" s="57">
        <v>4</v>
      </c>
      <c r="O100" s="57">
        <v>0</v>
      </c>
      <c r="P100" s="61">
        <f t="shared" si="103"/>
        <v>20</v>
      </c>
      <c r="Q100" s="40">
        <f t="shared" si="110"/>
        <v>1818.6583640676306</v>
      </c>
      <c r="R100" s="40">
        <f t="shared" si="111"/>
        <v>0</v>
      </c>
      <c r="S100" s="44">
        <f t="shared" si="112"/>
        <v>9093.2918203381523</v>
      </c>
      <c r="T100" s="35">
        <f t="shared" si="113"/>
        <v>20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493.45349846109013</v>
      </c>
      <c r="V100" s="57">
        <v>0</v>
      </c>
      <c r="W100" s="57">
        <v>0</v>
      </c>
      <c r="X100" s="61">
        <f t="shared" si="104"/>
        <v>20</v>
      </c>
      <c r="Y100" s="40">
        <f t="shared" si="114"/>
        <v>0</v>
      </c>
      <c r="Z100" s="40">
        <f t="shared" si="115"/>
        <v>0</v>
      </c>
      <c r="AA100" s="44">
        <f t="shared" si="116"/>
        <v>9869.0699692218022</v>
      </c>
      <c r="AB100" s="35">
        <f t="shared" si="117"/>
        <v>20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535.05121764636397</v>
      </c>
      <c r="AD100" s="57">
        <v>0</v>
      </c>
      <c r="AE100" s="57">
        <v>0</v>
      </c>
      <c r="AF100" s="61">
        <f t="shared" si="105"/>
        <v>20</v>
      </c>
      <c r="AG100" s="40">
        <f t="shared" si="118"/>
        <v>0</v>
      </c>
      <c r="AH100" s="40">
        <f t="shared" si="119"/>
        <v>0</v>
      </c>
      <c r="AI100" s="44">
        <f t="shared" si="120"/>
        <v>10701.024352927279</v>
      </c>
      <c r="AJ100" s="35">
        <f t="shared" si="106"/>
        <v>20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579.07043316308364</v>
      </c>
      <c r="AL100" s="57">
        <v>0</v>
      </c>
      <c r="AM100" s="57">
        <v>0</v>
      </c>
      <c r="AN100" s="61">
        <f t="shared" si="107"/>
        <v>20</v>
      </c>
      <c r="AO100" s="40">
        <f t="shared" si="121"/>
        <v>0</v>
      </c>
      <c r="AP100" s="40">
        <f t="shared" si="122"/>
        <v>0</v>
      </c>
      <c r="AQ100" s="44">
        <f t="shared" si="123"/>
        <v>11581.408663261673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144</v>
      </c>
      <c r="G101" s="35">
        <f>SUMIFS(WORKING!$AC$3:$AC$6802,WORKING!$A$3:$A$6802,Results!$D$3,WORKING!$B$3:$B$6802,Results!A101,WORKING!$C$3:$C$6802,Results!C101)/1000</f>
        <v>61323.552030000006</v>
      </c>
      <c r="H101" s="35">
        <f t="shared" si="108"/>
        <v>425.85800020833335</v>
      </c>
      <c r="I101" s="187">
        <v>58</v>
      </c>
      <c r="J101" s="212" t="s">
        <v>754</v>
      </c>
      <c r="K101" s="217">
        <f t="shared" si="109"/>
        <v>1057.3026212068967</v>
      </c>
      <c r="L101" s="34">
        <f t="shared" si="102"/>
        <v>58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1152.5670469441707</v>
      </c>
      <c r="N101" s="57">
        <v>8</v>
      </c>
      <c r="O101" s="57">
        <v>1</v>
      </c>
      <c r="P101" s="61">
        <f t="shared" si="103"/>
        <v>65</v>
      </c>
      <c r="Q101" s="40">
        <f t="shared" si="110"/>
        <v>9220.5363755533654</v>
      </c>
      <c r="R101" s="40">
        <f t="shared" si="111"/>
        <v>-1152.5670469441707</v>
      </c>
      <c r="S101" s="44">
        <f t="shared" si="112"/>
        <v>74916.858051371091</v>
      </c>
      <c r="T101" s="35">
        <f t="shared" si="113"/>
        <v>65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1251.0773197407027</v>
      </c>
      <c r="V101" s="57">
        <v>0</v>
      </c>
      <c r="W101" s="57">
        <v>0</v>
      </c>
      <c r="X101" s="61">
        <f t="shared" si="104"/>
        <v>65</v>
      </c>
      <c r="Y101" s="40">
        <f t="shared" si="114"/>
        <v>0</v>
      </c>
      <c r="Z101" s="40">
        <f t="shared" si="115"/>
        <v>0</v>
      </c>
      <c r="AA101" s="44">
        <f t="shared" si="116"/>
        <v>81320.025783145669</v>
      </c>
      <c r="AB101" s="35">
        <f t="shared" si="117"/>
        <v>65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1356.7382067533404</v>
      </c>
      <c r="AD101" s="57">
        <v>0</v>
      </c>
      <c r="AE101" s="57">
        <v>0</v>
      </c>
      <c r="AF101" s="61">
        <f t="shared" si="105"/>
        <v>65</v>
      </c>
      <c r="AG101" s="40">
        <f t="shared" si="118"/>
        <v>0</v>
      </c>
      <c r="AH101" s="40">
        <f t="shared" si="119"/>
        <v>0</v>
      </c>
      <c r="AI101" s="44">
        <f t="shared" si="120"/>
        <v>88187.98343896713</v>
      </c>
      <c r="AJ101" s="35">
        <f t="shared" si="106"/>
        <v>65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1468.5702365229693</v>
      </c>
      <c r="AL101" s="57">
        <v>0</v>
      </c>
      <c r="AM101" s="57">
        <v>0</v>
      </c>
      <c r="AN101" s="61">
        <f t="shared" si="107"/>
        <v>65</v>
      </c>
      <c r="AO101" s="40">
        <f t="shared" si="121"/>
        <v>0</v>
      </c>
      <c r="AP101" s="40">
        <f t="shared" si="122"/>
        <v>0</v>
      </c>
      <c r="AQ101" s="44">
        <f t="shared" si="123"/>
        <v>95457.065373992999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31</v>
      </c>
      <c r="G102" s="35">
        <f>SUMIFS(WORKING!$AC$3:$AC$6802,WORKING!$A$3:$A$6802,Results!$D$3,WORKING!$B$3:$B$6802,Results!A102,WORKING!$C$3:$C$6802,Results!C102)/1000</f>
        <v>16606.893639999998</v>
      </c>
      <c r="H102" s="35">
        <f t="shared" si="108"/>
        <v>535.70624645161286</v>
      </c>
      <c r="I102" s="187">
        <v>116</v>
      </c>
      <c r="J102" s="212" t="s">
        <v>754</v>
      </c>
      <c r="K102" s="217">
        <f t="shared" si="109"/>
        <v>143.16287620689653</v>
      </c>
      <c r="L102" s="34">
        <f t="shared" si="102"/>
        <v>116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156.25708303729823</v>
      </c>
      <c r="N102" s="57">
        <v>11</v>
      </c>
      <c r="O102" s="57">
        <v>1</v>
      </c>
      <c r="P102" s="61">
        <f t="shared" si="103"/>
        <v>126</v>
      </c>
      <c r="Q102" s="40">
        <f t="shared" si="110"/>
        <v>1718.8279134102804</v>
      </c>
      <c r="R102" s="40">
        <f t="shared" si="111"/>
        <v>-156.25708303729823</v>
      </c>
      <c r="S102" s="44">
        <f t="shared" si="112"/>
        <v>19688.392462699576</v>
      </c>
      <c r="T102" s="35">
        <f t="shared" si="113"/>
        <v>126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169.59791815247863</v>
      </c>
      <c r="V102" s="57">
        <v>0</v>
      </c>
      <c r="W102" s="57">
        <v>27</v>
      </c>
      <c r="X102" s="61">
        <f t="shared" si="104"/>
        <v>99</v>
      </c>
      <c r="Y102" s="40">
        <f t="shared" si="114"/>
        <v>0</v>
      </c>
      <c r="Z102" s="40">
        <f t="shared" si="115"/>
        <v>-4579.1437901169229</v>
      </c>
      <c r="AA102" s="44">
        <f t="shared" si="116"/>
        <v>16790.193897095385</v>
      </c>
      <c r="AB102" s="35">
        <f t="shared" si="117"/>
        <v>99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183.90572478710089</v>
      </c>
      <c r="AD102" s="57">
        <v>0</v>
      </c>
      <c r="AE102" s="57">
        <v>1</v>
      </c>
      <c r="AF102" s="61">
        <f t="shared" si="105"/>
        <v>98</v>
      </c>
      <c r="AG102" s="40">
        <f t="shared" si="118"/>
        <v>0</v>
      </c>
      <c r="AH102" s="40">
        <f t="shared" si="119"/>
        <v>-183.90572478710089</v>
      </c>
      <c r="AI102" s="44">
        <f t="shared" si="120"/>
        <v>18022.761029135887</v>
      </c>
      <c r="AJ102" s="35">
        <f t="shared" si="106"/>
        <v>98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199.04748494496425</v>
      </c>
      <c r="AL102" s="57">
        <v>0</v>
      </c>
      <c r="AM102" s="57">
        <v>0</v>
      </c>
      <c r="AN102" s="61">
        <f t="shared" si="107"/>
        <v>98</v>
      </c>
      <c r="AO102" s="40">
        <f t="shared" si="121"/>
        <v>0</v>
      </c>
      <c r="AP102" s="40">
        <f t="shared" si="122"/>
        <v>0</v>
      </c>
      <c r="AQ102" s="44">
        <f t="shared" si="123"/>
        <v>19506.653524606496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56</v>
      </c>
      <c r="G103" s="35">
        <f>SUMIFS(WORKING!$AC$3:$AC$6802,WORKING!$A$3:$A$6802,Results!$D$3,WORKING!$B$3:$B$6802,Results!A103,WORKING!$C$3:$C$6802,Results!C103)/1000</f>
        <v>35544.5524</v>
      </c>
      <c r="H103" s="35">
        <f t="shared" si="108"/>
        <v>634.72415000000001</v>
      </c>
      <c r="I103" s="187">
        <v>89</v>
      </c>
      <c r="J103" s="212" t="s">
        <v>754</v>
      </c>
      <c r="K103" s="217">
        <f t="shared" si="109"/>
        <v>399.37699325842698</v>
      </c>
      <c r="L103" s="34">
        <f t="shared" si="102"/>
        <v>89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435.96267562045171</v>
      </c>
      <c r="N103" s="57">
        <v>15</v>
      </c>
      <c r="O103" s="57">
        <v>1</v>
      </c>
      <c r="P103" s="61">
        <f t="shared" si="103"/>
        <v>103</v>
      </c>
      <c r="Q103" s="40">
        <f t="shared" si="110"/>
        <v>6539.4401343067757</v>
      </c>
      <c r="R103" s="40">
        <f t="shared" si="111"/>
        <v>-435.96267562045171</v>
      </c>
      <c r="S103" s="44">
        <f t="shared" si="112"/>
        <v>44904.155588906528</v>
      </c>
      <c r="T103" s="35">
        <f t="shared" si="113"/>
        <v>103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473.24614170313021</v>
      </c>
      <c r="V103" s="57">
        <v>0</v>
      </c>
      <c r="W103" s="57">
        <v>1</v>
      </c>
      <c r="X103" s="61">
        <f t="shared" si="104"/>
        <v>102</v>
      </c>
      <c r="Y103" s="40">
        <f t="shared" si="114"/>
        <v>0</v>
      </c>
      <c r="Z103" s="40">
        <f t="shared" si="115"/>
        <v>-473.24614170313021</v>
      </c>
      <c r="AA103" s="44">
        <f t="shared" si="116"/>
        <v>48271.10645371928</v>
      </c>
      <c r="AB103" s="35">
        <f t="shared" si="117"/>
        <v>102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513.23797414905505</v>
      </c>
      <c r="AD103" s="57">
        <v>0</v>
      </c>
      <c r="AE103" s="57">
        <v>1</v>
      </c>
      <c r="AF103" s="61">
        <f t="shared" si="105"/>
        <v>101</v>
      </c>
      <c r="AG103" s="40">
        <f t="shared" si="118"/>
        <v>0</v>
      </c>
      <c r="AH103" s="40">
        <f t="shared" si="119"/>
        <v>-513.23797414905505</v>
      </c>
      <c r="AI103" s="44">
        <f t="shared" si="120"/>
        <v>51837.035389054559</v>
      </c>
      <c r="AJ103" s="35">
        <f t="shared" si="106"/>
        <v>101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555.56796601873225</v>
      </c>
      <c r="AL103" s="57">
        <v>0</v>
      </c>
      <c r="AM103" s="57">
        <v>0</v>
      </c>
      <c r="AN103" s="61">
        <f t="shared" si="107"/>
        <v>101</v>
      </c>
      <c r="AO103" s="40">
        <f t="shared" si="121"/>
        <v>0</v>
      </c>
      <c r="AP103" s="40">
        <f t="shared" si="122"/>
        <v>0</v>
      </c>
      <c r="AQ103" s="44">
        <f t="shared" si="123"/>
        <v>56112.364567891957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21</v>
      </c>
      <c r="G104" s="35">
        <f>SUMIFS(WORKING!$AC$3:$AC$6802,WORKING!$A$3:$A$6802,Results!$D$3,WORKING!$B$3:$B$6802,Results!A104,WORKING!$C$3:$C$6802,Results!C104)/1000</f>
        <v>17416.060340000004</v>
      </c>
      <c r="H104" s="35">
        <f t="shared" si="108"/>
        <v>829.33620666666684</v>
      </c>
      <c r="I104" s="187">
        <v>9</v>
      </c>
      <c r="J104" s="212" t="s">
        <v>754</v>
      </c>
      <c r="K104" s="217">
        <f t="shared" si="109"/>
        <v>1935.117815555556</v>
      </c>
      <c r="L104" s="34">
        <f t="shared" si="102"/>
        <v>9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2028.3003973382224</v>
      </c>
      <c r="N104" s="57">
        <v>4</v>
      </c>
      <c r="O104" s="57">
        <v>0</v>
      </c>
      <c r="P104" s="61">
        <f t="shared" si="103"/>
        <v>13</v>
      </c>
      <c r="Q104" s="40">
        <f t="shared" si="110"/>
        <v>8113.2015893528896</v>
      </c>
      <c r="R104" s="40">
        <f t="shared" si="111"/>
        <v>0</v>
      </c>
      <c r="S104" s="44">
        <f t="shared" si="112"/>
        <v>26367.905165396893</v>
      </c>
      <c r="T104" s="35">
        <f t="shared" si="113"/>
        <v>13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2181.5375058575833</v>
      </c>
      <c r="V104" s="57">
        <v>0</v>
      </c>
      <c r="W104" s="57">
        <v>0</v>
      </c>
      <c r="X104" s="61">
        <f t="shared" si="104"/>
        <v>13</v>
      </c>
      <c r="Y104" s="40">
        <f t="shared" si="114"/>
        <v>0</v>
      </c>
      <c r="Z104" s="40">
        <f t="shared" si="115"/>
        <v>0</v>
      </c>
      <c r="AA104" s="44">
        <f t="shared" si="116"/>
        <v>28359.987576148582</v>
      </c>
      <c r="AB104" s="35">
        <f t="shared" si="117"/>
        <v>13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2344.1380641475344</v>
      </c>
      <c r="AD104" s="57">
        <v>0</v>
      </c>
      <c r="AE104" s="57">
        <v>0</v>
      </c>
      <c r="AF104" s="61">
        <f t="shared" si="105"/>
        <v>13</v>
      </c>
      <c r="AG104" s="40">
        <f t="shared" si="118"/>
        <v>0</v>
      </c>
      <c r="AH104" s="40">
        <f t="shared" si="119"/>
        <v>0</v>
      </c>
      <c r="AI104" s="44">
        <f t="shared" si="120"/>
        <v>30473.794833917946</v>
      </c>
      <c r="AJ104" s="35">
        <f t="shared" si="106"/>
        <v>13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2514.1009796260983</v>
      </c>
      <c r="AL104" s="57">
        <v>0</v>
      </c>
      <c r="AM104" s="57">
        <v>0</v>
      </c>
      <c r="AN104" s="61">
        <f t="shared" si="107"/>
        <v>13</v>
      </c>
      <c r="AO104" s="40">
        <f t="shared" si="121"/>
        <v>0</v>
      </c>
      <c r="AP104" s="40">
        <f t="shared" si="122"/>
        <v>0</v>
      </c>
      <c r="AQ104" s="44">
        <f t="shared" si="123"/>
        <v>32683.312735139276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19</v>
      </c>
      <c r="G105" s="35">
        <f>SUMIFS(WORKING!$AC$3:$AC$6802,WORKING!$A$3:$A$6802,Results!$D$3,WORKING!$B$3:$B$6802,Results!A105,WORKING!$C$3:$C$6802,Results!C105)/1000</f>
        <v>15416.622849999998</v>
      </c>
      <c r="H105" s="35">
        <f t="shared" si="108"/>
        <v>811.40120263157883</v>
      </c>
      <c r="I105" s="187">
        <v>3</v>
      </c>
      <c r="J105" s="212" t="s">
        <v>754</v>
      </c>
      <c r="K105" s="217">
        <f t="shared" si="109"/>
        <v>5138.8742833333326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5386.4777636821818</v>
      </c>
      <c r="N105" s="57">
        <v>0</v>
      </c>
      <c r="O105" s="57">
        <v>0</v>
      </c>
      <c r="P105" s="61">
        <f t="shared" si="103"/>
        <v>3</v>
      </c>
      <c r="Q105" s="40">
        <f t="shared" si="110"/>
        <v>0</v>
      </c>
      <c r="R105" s="40">
        <f t="shared" si="111"/>
        <v>0</v>
      </c>
      <c r="S105" s="44">
        <f t="shared" si="112"/>
        <v>16159.433291046545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5793.5838003890749</v>
      </c>
      <c r="V105" s="57">
        <v>0</v>
      </c>
      <c r="W105" s="57">
        <v>0</v>
      </c>
      <c r="X105" s="61">
        <f t="shared" si="104"/>
        <v>3</v>
      </c>
      <c r="Y105" s="40">
        <f t="shared" si="114"/>
        <v>0</v>
      </c>
      <c r="Z105" s="40">
        <f t="shared" si="115"/>
        <v>0</v>
      </c>
      <c r="AA105" s="44">
        <f t="shared" si="116"/>
        <v>17380.751401167225</v>
      </c>
      <c r="AB105" s="35">
        <f t="shared" si="117"/>
        <v>3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6225.5798780700115</v>
      </c>
      <c r="AD105" s="57">
        <v>0</v>
      </c>
      <c r="AE105" s="57">
        <v>0</v>
      </c>
      <c r="AF105" s="61">
        <f t="shared" si="105"/>
        <v>3</v>
      </c>
      <c r="AG105" s="40">
        <f t="shared" si="118"/>
        <v>0</v>
      </c>
      <c r="AH105" s="40">
        <f t="shared" si="119"/>
        <v>0</v>
      </c>
      <c r="AI105" s="44">
        <f t="shared" si="120"/>
        <v>18676.739634210033</v>
      </c>
      <c r="AJ105" s="35">
        <f t="shared" si="106"/>
        <v>3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6677.1533972993293</v>
      </c>
      <c r="AL105" s="57">
        <v>0</v>
      </c>
      <c r="AM105" s="57">
        <v>0</v>
      </c>
      <c r="AN105" s="61">
        <f t="shared" si="107"/>
        <v>3</v>
      </c>
      <c r="AO105" s="40">
        <f t="shared" si="121"/>
        <v>0</v>
      </c>
      <c r="AP105" s="40">
        <f t="shared" si="122"/>
        <v>0</v>
      </c>
      <c r="AQ105" s="44">
        <f t="shared" si="123"/>
        <v>20031.46019189799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5</v>
      </c>
      <c r="G106" s="35">
        <f>SUMIFS(WORKING!$AC$3:$AC$6802,WORKING!$A$3:$A$6802,Results!$D$3,WORKING!$B$3:$B$6802,Results!A106,WORKING!$C$3:$C$6802,Results!C106)/1000</f>
        <v>8757.6197799999991</v>
      </c>
      <c r="H106" s="35">
        <f t="shared" si="108"/>
        <v>1751.5239559999998</v>
      </c>
      <c r="I106" s="187">
        <v>1</v>
      </c>
      <c r="J106" s="212" t="s">
        <v>754</v>
      </c>
      <c r="K106" s="217">
        <f t="shared" si="109"/>
        <v>8757.6197799999991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9179.7503274031005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9179.7503274031005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9873.7288474727884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9873.7288474727884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10610.152312390152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10610.152312390152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11379.968699606579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11379.968699606579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878</v>
      </c>
      <c r="G112" s="41">
        <f>SUM(G92:G111)</f>
        <v>274831.90010000003</v>
      </c>
      <c r="H112" s="41">
        <f>IFERROR(G112/F112,0)</f>
        <v>313.02038735763102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877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274831.90010000003</v>
      </c>
      <c r="K112" s="41">
        <f>IFERROR(J112/I112,"")</f>
        <v>313.37730912200686</v>
      </c>
      <c r="L112" s="41">
        <f>SUM(L92:L111)</f>
        <v>877</v>
      </c>
      <c r="M112" s="41">
        <f>IFERROR(S112/P112,0)</f>
        <v>342.80923798883697</v>
      </c>
      <c r="N112" s="41">
        <f t="shared" ref="N112:T112" si="124">SUM(N92:N111)</f>
        <v>112</v>
      </c>
      <c r="O112" s="41">
        <f t="shared" si="124"/>
        <v>9</v>
      </c>
      <c r="P112" s="41">
        <f t="shared" si="124"/>
        <v>980</v>
      </c>
      <c r="Q112" s="41">
        <f t="shared" si="124"/>
        <v>41468.013853562923</v>
      </c>
      <c r="R112" s="41">
        <f t="shared" si="124"/>
        <v>-3065.069216773019</v>
      </c>
      <c r="S112" s="45">
        <f t="shared" si="124"/>
        <v>335953.05322906026</v>
      </c>
      <c r="T112" s="41">
        <f t="shared" si="124"/>
        <v>980</v>
      </c>
      <c r="U112" s="41">
        <f>IFERROR(AA112/X112,0)</f>
        <v>385.02043283037568</v>
      </c>
      <c r="V112" s="41">
        <f t="shared" ref="V112:AB112" si="125">SUM(V92:V111)</f>
        <v>0</v>
      </c>
      <c r="W112" s="41">
        <f t="shared" si="125"/>
        <v>72</v>
      </c>
      <c r="X112" s="41">
        <f t="shared" si="125"/>
        <v>908</v>
      </c>
      <c r="Y112" s="41">
        <f t="shared" si="125"/>
        <v>0</v>
      </c>
      <c r="Z112" s="41">
        <f t="shared" si="125"/>
        <v>-14425.784603428649</v>
      </c>
      <c r="AA112" s="45">
        <f t="shared" si="125"/>
        <v>349598.55300998111</v>
      </c>
      <c r="AB112" s="41">
        <f t="shared" si="125"/>
        <v>908</v>
      </c>
      <c r="AC112" s="41">
        <f>IFERROR(AI112/AF112,0)</f>
        <v>418.47733512752774</v>
      </c>
      <c r="AD112" s="41">
        <f t="shared" ref="AD112:AJ112" si="126">SUM(AD92:AD111)</f>
        <v>0</v>
      </c>
      <c r="AE112" s="41">
        <f t="shared" si="126"/>
        <v>14</v>
      </c>
      <c r="AF112" s="41">
        <f t="shared" si="126"/>
        <v>894</v>
      </c>
      <c r="AG112" s="41">
        <f t="shared" si="126"/>
        <v>0</v>
      </c>
      <c r="AH112" s="41">
        <f t="shared" si="126"/>
        <v>-4323.7604709666966</v>
      </c>
      <c r="AI112" s="45">
        <f t="shared" si="126"/>
        <v>374118.7376040098</v>
      </c>
      <c r="AJ112" s="41">
        <f t="shared" si="126"/>
        <v>894</v>
      </c>
      <c r="AK112" s="41">
        <f>IFERROR(AQ112/AN112,0)</f>
        <v>452.15307736572095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894</v>
      </c>
      <c r="AO112" s="41">
        <f t="shared" si="127"/>
        <v>0</v>
      </c>
      <c r="AP112" s="41">
        <f t="shared" si="127"/>
        <v>0</v>
      </c>
      <c r="AQ112" s="45">
        <f t="shared" si="127"/>
        <v>404224.85116495454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412460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440232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460617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495623.89200000005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76506.946770939743</v>
      </c>
      <c r="T114" s="39"/>
      <c r="U114" s="39"/>
      <c r="V114" s="53"/>
      <c r="W114" s="53"/>
      <c r="X114" s="110"/>
      <c r="Y114" s="39"/>
      <c r="Z114" s="39"/>
      <c r="AA114" s="54">
        <f>AA113-AA112</f>
        <v>90633.446990018885</v>
      </c>
      <c r="AB114" s="39"/>
      <c r="AC114" s="53"/>
      <c r="AD114" s="53"/>
      <c r="AE114" s="110"/>
      <c r="AF114" s="39"/>
      <c r="AG114" s="39"/>
      <c r="AH114" s="39"/>
      <c r="AI114" s="54">
        <f>AI113-AI112</f>
        <v>86498.262395990198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91399.040835045511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Water Infrastructure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36</v>
      </c>
      <c r="G121" s="35">
        <f>SUMIFS(WORKING!$AC$3:$AC$6802,WORKING!$A$3:$A$6802,Results!$D$3,WORKING!$B$3:$B$6802,Results!A121,WORKING!$C$3:$C$6802,Results!C121)/1000</f>
        <v>5848.1236699999999</v>
      </c>
      <c r="H121" s="35">
        <f t="shared" ref="H121:H139" si="134">IFERROR(G121/F121,0)</f>
        <v>162.44787972222221</v>
      </c>
      <c r="I121" s="187">
        <v>36</v>
      </c>
      <c r="J121" s="212">
        <v>5848.1236699999999</v>
      </c>
      <c r="K121" s="217">
        <f t="shared" ref="K121:K139" si="135">IFERROR(IF(J121="",G121,J121)/IF(I121="",F121,I121),"")</f>
        <v>162.44787972222221</v>
      </c>
      <c r="L121" s="34">
        <f t="shared" si="128"/>
        <v>36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176.10727742948293</v>
      </c>
      <c r="N121" s="57">
        <v>21</v>
      </c>
      <c r="O121" s="57">
        <v>0</v>
      </c>
      <c r="P121" s="61">
        <f t="shared" si="129"/>
        <v>57</v>
      </c>
      <c r="Q121" s="40">
        <f t="shared" ref="Q121:Q139" si="136">M121*N121</f>
        <v>3698.2528260191416</v>
      </c>
      <c r="R121" s="40">
        <f t="shared" ref="R121:R139" si="137">-M121*O121</f>
        <v>0</v>
      </c>
      <c r="S121" s="44">
        <f t="shared" ref="S121:S139" si="138">M121*P121</f>
        <v>10038.114813480528</v>
      </c>
      <c r="T121" s="35">
        <f t="shared" ref="T121:T139" si="139">P121</f>
        <v>57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190.85941077513158</v>
      </c>
      <c r="V121" s="57">
        <v>0</v>
      </c>
      <c r="W121" s="57">
        <v>0</v>
      </c>
      <c r="X121" s="61">
        <f t="shared" si="130"/>
        <v>57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10878.9864141825</v>
      </c>
      <c r="AB121" s="35">
        <f t="shared" ref="AB121:AB139" si="143">X121</f>
        <v>57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206.65393716959019</v>
      </c>
      <c r="AD121" s="57">
        <v>0</v>
      </c>
      <c r="AE121" s="57">
        <v>0</v>
      </c>
      <c r="AF121" s="61">
        <f t="shared" si="131"/>
        <v>57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11779.27441866664</v>
      </c>
      <c r="AJ121" s="35">
        <f t="shared" si="132"/>
        <v>57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223.33680892074122</v>
      </c>
      <c r="AL121" s="57">
        <v>0</v>
      </c>
      <c r="AM121" s="57">
        <v>0</v>
      </c>
      <c r="AN121" s="61">
        <f t="shared" si="133"/>
        <v>57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12730.198108482249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72</v>
      </c>
      <c r="G122" s="35">
        <f>SUMIFS(WORKING!$AC$3:$AC$6802,WORKING!$A$3:$A$6802,Results!$D$3,WORKING!$B$3:$B$6802,Results!A122,WORKING!$C$3:$C$6802,Results!C122)/1000</f>
        <v>13033.010940000002</v>
      </c>
      <c r="H122" s="35">
        <f t="shared" si="134"/>
        <v>181.01404083333335</v>
      </c>
      <c r="I122" s="187">
        <v>73</v>
      </c>
      <c r="J122" s="212">
        <v>13275.720070000001</v>
      </c>
      <c r="K122" s="217">
        <f t="shared" si="135"/>
        <v>181.8591790410959</v>
      </c>
      <c r="L122" s="34">
        <f t="shared" si="128"/>
        <v>73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197.25369537139349</v>
      </c>
      <c r="N122" s="57">
        <v>36</v>
      </c>
      <c r="O122" s="57">
        <v>1</v>
      </c>
      <c r="P122" s="61">
        <f t="shared" si="129"/>
        <v>108</v>
      </c>
      <c r="Q122" s="40">
        <f t="shared" si="136"/>
        <v>7101.1330333701653</v>
      </c>
      <c r="R122" s="40">
        <f t="shared" si="137"/>
        <v>-197.25369537139349</v>
      </c>
      <c r="S122" s="44">
        <f t="shared" si="138"/>
        <v>21303.399100110499</v>
      </c>
      <c r="T122" s="35">
        <f t="shared" si="139"/>
        <v>108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213.80955806951928</v>
      </c>
      <c r="V122" s="57">
        <v>0</v>
      </c>
      <c r="W122" s="57">
        <v>1</v>
      </c>
      <c r="X122" s="61">
        <f t="shared" si="130"/>
        <v>107</v>
      </c>
      <c r="Y122" s="40">
        <f t="shared" si="140"/>
        <v>0</v>
      </c>
      <c r="Z122" s="40">
        <f t="shared" si="141"/>
        <v>-213.80955806951928</v>
      </c>
      <c r="AA122" s="44">
        <f t="shared" si="142"/>
        <v>22877.622713438563</v>
      </c>
      <c r="AB122" s="35">
        <f t="shared" si="143"/>
        <v>107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231.53831003436886</v>
      </c>
      <c r="AD122" s="57">
        <v>0</v>
      </c>
      <c r="AE122" s="57">
        <v>1</v>
      </c>
      <c r="AF122" s="61">
        <f t="shared" si="131"/>
        <v>106</v>
      </c>
      <c r="AG122" s="40">
        <f t="shared" si="144"/>
        <v>0</v>
      </c>
      <c r="AH122" s="40">
        <f t="shared" si="145"/>
        <v>-231.53831003436886</v>
      </c>
      <c r="AI122" s="44">
        <f t="shared" si="146"/>
        <v>24543.060863643099</v>
      </c>
      <c r="AJ122" s="35">
        <f t="shared" si="132"/>
        <v>106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250.26782056663779</v>
      </c>
      <c r="AL122" s="57">
        <v>0</v>
      </c>
      <c r="AM122" s="57">
        <v>0</v>
      </c>
      <c r="AN122" s="61">
        <f t="shared" si="133"/>
        <v>106</v>
      </c>
      <c r="AO122" s="40">
        <f t="shared" si="147"/>
        <v>0</v>
      </c>
      <c r="AP122" s="40">
        <f t="shared" si="148"/>
        <v>0</v>
      </c>
      <c r="AQ122" s="44">
        <f t="shared" si="149"/>
        <v>26528.388980063606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5</v>
      </c>
      <c r="G123" s="35">
        <f>SUMIFS(WORKING!$AC$3:$AC$6802,WORKING!$A$3:$A$6802,Results!$D$3,WORKING!$B$3:$B$6802,Results!A123,WORKING!$C$3:$C$6802,Results!C123)/1000</f>
        <v>973.70282999999995</v>
      </c>
      <c r="H123" s="35">
        <f t="shared" si="134"/>
        <v>194.740566</v>
      </c>
      <c r="I123" s="187">
        <v>6</v>
      </c>
      <c r="J123" s="212">
        <v>1446.5159699999999</v>
      </c>
      <c r="K123" s="217">
        <f t="shared" si="135"/>
        <v>241.085995</v>
      </c>
      <c r="L123" s="34">
        <f t="shared" si="128"/>
        <v>6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262.05193518525488</v>
      </c>
      <c r="N123" s="57">
        <v>2</v>
      </c>
      <c r="O123" s="57">
        <v>0</v>
      </c>
      <c r="P123" s="61">
        <f t="shared" si="129"/>
        <v>8</v>
      </c>
      <c r="Q123" s="40">
        <f t="shared" si="136"/>
        <v>524.10387037050975</v>
      </c>
      <c r="R123" s="40">
        <f t="shared" si="137"/>
        <v>0</v>
      </c>
      <c r="S123" s="44">
        <f t="shared" si="138"/>
        <v>2096.415481482039</v>
      </c>
      <c r="T123" s="35">
        <f t="shared" si="139"/>
        <v>8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284.21935082160991</v>
      </c>
      <c r="V123" s="57">
        <v>0</v>
      </c>
      <c r="W123" s="57">
        <v>0</v>
      </c>
      <c r="X123" s="61">
        <f t="shared" si="130"/>
        <v>8</v>
      </c>
      <c r="Y123" s="40">
        <f t="shared" si="140"/>
        <v>0</v>
      </c>
      <c r="Z123" s="40">
        <f t="shared" si="141"/>
        <v>0</v>
      </c>
      <c r="AA123" s="44">
        <f t="shared" si="142"/>
        <v>2273.7548065728793</v>
      </c>
      <c r="AB123" s="35">
        <f t="shared" si="143"/>
        <v>8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307.97370089905235</v>
      </c>
      <c r="AD123" s="57">
        <v>0</v>
      </c>
      <c r="AE123" s="57">
        <v>0</v>
      </c>
      <c r="AF123" s="61">
        <f t="shared" si="131"/>
        <v>8</v>
      </c>
      <c r="AG123" s="40">
        <f t="shared" si="144"/>
        <v>0</v>
      </c>
      <c r="AH123" s="40">
        <f t="shared" si="145"/>
        <v>0</v>
      </c>
      <c r="AI123" s="44">
        <f t="shared" si="146"/>
        <v>2463.7896071924188</v>
      </c>
      <c r="AJ123" s="35">
        <f t="shared" si="132"/>
        <v>8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333.08870987707002</v>
      </c>
      <c r="AL123" s="57">
        <v>0</v>
      </c>
      <c r="AM123" s="57">
        <v>0</v>
      </c>
      <c r="AN123" s="61">
        <f t="shared" si="133"/>
        <v>8</v>
      </c>
      <c r="AO123" s="40">
        <f t="shared" si="147"/>
        <v>0</v>
      </c>
      <c r="AP123" s="40">
        <f t="shared" si="148"/>
        <v>0</v>
      </c>
      <c r="AQ123" s="44">
        <f t="shared" si="149"/>
        <v>2664.7096790165601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32</v>
      </c>
      <c r="G124" s="35">
        <f>SUMIFS(WORKING!$AC$3:$AC$6802,WORKING!$A$3:$A$6802,Results!$D$3,WORKING!$B$3:$B$6802,Results!A124,WORKING!$C$3:$C$6802,Results!C124)/1000</f>
        <v>5746.1215800000009</v>
      </c>
      <c r="H124" s="35">
        <f t="shared" si="134"/>
        <v>179.56629937500003</v>
      </c>
      <c r="I124" s="187">
        <v>46</v>
      </c>
      <c r="J124" s="212">
        <v>8577.8643300000003</v>
      </c>
      <c r="K124" s="217">
        <f t="shared" si="135"/>
        <v>186.47531152173914</v>
      </c>
      <c r="L124" s="34">
        <f t="shared" si="128"/>
        <v>46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202.63640351410154</v>
      </c>
      <c r="N124" s="57">
        <v>15</v>
      </c>
      <c r="O124" s="57">
        <v>0</v>
      </c>
      <c r="P124" s="61">
        <f t="shared" si="129"/>
        <v>61</v>
      </c>
      <c r="Q124" s="40">
        <f t="shared" si="136"/>
        <v>3039.5460527115233</v>
      </c>
      <c r="R124" s="40">
        <f t="shared" si="137"/>
        <v>0</v>
      </c>
      <c r="S124" s="44">
        <f t="shared" si="138"/>
        <v>12360.820614360195</v>
      </c>
      <c r="T124" s="35">
        <f t="shared" si="139"/>
        <v>61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219.75749200180718</v>
      </c>
      <c r="V124" s="57">
        <v>0</v>
      </c>
      <c r="W124" s="57">
        <v>0</v>
      </c>
      <c r="X124" s="61">
        <f t="shared" si="130"/>
        <v>61</v>
      </c>
      <c r="Y124" s="40">
        <f t="shared" si="140"/>
        <v>0</v>
      </c>
      <c r="Z124" s="40">
        <f t="shared" si="141"/>
        <v>0</v>
      </c>
      <c r="AA124" s="44">
        <f t="shared" si="142"/>
        <v>13405.207012110239</v>
      </c>
      <c r="AB124" s="35">
        <f t="shared" si="143"/>
        <v>61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238.10248303513379</v>
      </c>
      <c r="AD124" s="57">
        <v>0</v>
      </c>
      <c r="AE124" s="57">
        <v>0</v>
      </c>
      <c r="AF124" s="61">
        <f t="shared" si="131"/>
        <v>61</v>
      </c>
      <c r="AG124" s="40">
        <f t="shared" si="144"/>
        <v>0</v>
      </c>
      <c r="AH124" s="40">
        <f t="shared" si="145"/>
        <v>0</v>
      </c>
      <c r="AI124" s="44">
        <f t="shared" si="146"/>
        <v>14524.251465143161</v>
      </c>
      <c r="AJ124" s="35">
        <f t="shared" si="132"/>
        <v>61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257.49633075843195</v>
      </c>
      <c r="AL124" s="57">
        <v>0</v>
      </c>
      <c r="AM124" s="57">
        <v>0</v>
      </c>
      <c r="AN124" s="61">
        <f t="shared" si="133"/>
        <v>61</v>
      </c>
      <c r="AO124" s="40">
        <f t="shared" si="147"/>
        <v>0</v>
      </c>
      <c r="AP124" s="40">
        <f t="shared" si="148"/>
        <v>0</v>
      </c>
      <c r="AQ124" s="44">
        <f t="shared" si="149"/>
        <v>15707.276176264349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24</v>
      </c>
      <c r="G125" s="35">
        <f>SUMIFS(WORKING!$AC$3:$AC$6802,WORKING!$A$3:$A$6802,Results!$D$3,WORKING!$B$3:$B$6802,Results!A125,WORKING!$C$3:$C$6802,Results!C125)/1000</f>
        <v>6498.3336500000005</v>
      </c>
      <c r="H125" s="35">
        <f t="shared" si="134"/>
        <v>270.76390208333333</v>
      </c>
      <c r="I125" s="187">
        <v>58</v>
      </c>
      <c r="J125" s="212">
        <v>14332.41841</v>
      </c>
      <c r="K125" s="217">
        <f t="shared" si="135"/>
        <v>247.11066224137932</v>
      </c>
      <c r="L125" s="34">
        <f t="shared" si="128"/>
        <v>58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268.6979345355922</v>
      </c>
      <c r="N125" s="57">
        <v>7</v>
      </c>
      <c r="O125" s="57">
        <v>0</v>
      </c>
      <c r="P125" s="61">
        <f t="shared" si="129"/>
        <v>65</v>
      </c>
      <c r="Q125" s="40">
        <f t="shared" si="136"/>
        <v>1880.8855417491454</v>
      </c>
      <c r="R125" s="40">
        <f t="shared" si="137"/>
        <v>0</v>
      </c>
      <c r="S125" s="44">
        <f t="shared" si="138"/>
        <v>17465.365744813495</v>
      </c>
      <c r="T125" s="35">
        <f t="shared" si="139"/>
        <v>65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291.45424566754883</v>
      </c>
      <c r="V125" s="57">
        <v>0</v>
      </c>
      <c r="W125" s="57">
        <v>0</v>
      </c>
      <c r="X125" s="61">
        <f t="shared" si="130"/>
        <v>65</v>
      </c>
      <c r="Y125" s="40">
        <f t="shared" si="140"/>
        <v>0</v>
      </c>
      <c r="Z125" s="40">
        <f t="shared" si="141"/>
        <v>0</v>
      </c>
      <c r="AA125" s="44">
        <f t="shared" si="142"/>
        <v>18944.525968390673</v>
      </c>
      <c r="AB125" s="35">
        <f t="shared" si="143"/>
        <v>65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315.84238720984069</v>
      </c>
      <c r="AD125" s="57">
        <v>0</v>
      </c>
      <c r="AE125" s="57">
        <v>0</v>
      </c>
      <c r="AF125" s="61">
        <f t="shared" si="131"/>
        <v>65</v>
      </c>
      <c r="AG125" s="40">
        <f t="shared" si="144"/>
        <v>0</v>
      </c>
      <c r="AH125" s="40">
        <f t="shared" si="145"/>
        <v>0</v>
      </c>
      <c r="AI125" s="44">
        <f t="shared" si="146"/>
        <v>20529.755168639644</v>
      </c>
      <c r="AJ125" s="35">
        <f t="shared" si="132"/>
        <v>65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341.63097369653656</v>
      </c>
      <c r="AL125" s="57">
        <v>0</v>
      </c>
      <c r="AM125" s="57">
        <v>0</v>
      </c>
      <c r="AN125" s="61">
        <f t="shared" si="133"/>
        <v>65</v>
      </c>
      <c r="AO125" s="40">
        <f t="shared" si="147"/>
        <v>0</v>
      </c>
      <c r="AP125" s="40">
        <f t="shared" si="148"/>
        <v>0</v>
      </c>
      <c r="AQ125" s="44">
        <f t="shared" si="149"/>
        <v>22206.013290274877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36</v>
      </c>
      <c r="G126" s="35">
        <f>SUMIFS(WORKING!$AC$3:$AC$6802,WORKING!$A$3:$A$6802,Results!$D$3,WORKING!$B$3:$B$6802,Results!A126,WORKING!$C$3:$C$6802,Results!C126)/1000</f>
        <v>10795.074210000001</v>
      </c>
      <c r="H126" s="35">
        <f t="shared" si="134"/>
        <v>299.86317250000002</v>
      </c>
      <c r="I126" s="187">
        <v>88</v>
      </c>
      <c r="J126" s="212">
        <v>25894.243440000002</v>
      </c>
      <c r="K126" s="217">
        <f t="shared" si="135"/>
        <v>294.2527663636364</v>
      </c>
      <c r="L126" s="34">
        <f t="shared" si="128"/>
        <v>88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320.14703283206097</v>
      </c>
      <c r="N126" s="57">
        <v>8</v>
      </c>
      <c r="O126" s="57">
        <v>1</v>
      </c>
      <c r="P126" s="61">
        <f t="shared" si="129"/>
        <v>95</v>
      </c>
      <c r="Q126" s="40">
        <f t="shared" si="136"/>
        <v>2561.1762626564878</v>
      </c>
      <c r="R126" s="40">
        <f t="shared" si="137"/>
        <v>-320.14703283206097</v>
      </c>
      <c r="S126" s="44">
        <f t="shared" si="138"/>
        <v>30413.968119045792</v>
      </c>
      <c r="T126" s="35">
        <f t="shared" si="139"/>
        <v>95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347.31893016452847</v>
      </c>
      <c r="V126" s="57">
        <v>0</v>
      </c>
      <c r="W126" s="57">
        <v>0</v>
      </c>
      <c r="X126" s="61">
        <f t="shared" si="130"/>
        <v>95</v>
      </c>
      <c r="Y126" s="40">
        <f t="shared" si="140"/>
        <v>0</v>
      </c>
      <c r="Z126" s="40">
        <f t="shared" si="141"/>
        <v>0</v>
      </c>
      <c r="AA126" s="44">
        <f t="shared" si="142"/>
        <v>32995.298365630202</v>
      </c>
      <c r="AB126" s="35">
        <f t="shared" si="143"/>
        <v>95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376.44488040526744</v>
      </c>
      <c r="AD126" s="57">
        <v>0</v>
      </c>
      <c r="AE126" s="57">
        <v>0</v>
      </c>
      <c r="AF126" s="61">
        <f t="shared" si="131"/>
        <v>95</v>
      </c>
      <c r="AG126" s="40">
        <f t="shared" si="144"/>
        <v>0</v>
      </c>
      <c r="AH126" s="40">
        <f t="shared" si="145"/>
        <v>0</v>
      </c>
      <c r="AI126" s="44">
        <f t="shared" si="146"/>
        <v>35762.263638500408</v>
      </c>
      <c r="AJ126" s="35">
        <f t="shared" si="132"/>
        <v>95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407.25003396537329</v>
      </c>
      <c r="AL126" s="57">
        <v>0</v>
      </c>
      <c r="AM126" s="57">
        <v>0</v>
      </c>
      <c r="AN126" s="61">
        <f t="shared" si="133"/>
        <v>95</v>
      </c>
      <c r="AO126" s="40">
        <f t="shared" si="147"/>
        <v>0</v>
      </c>
      <c r="AP126" s="40">
        <f t="shared" si="148"/>
        <v>0</v>
      </c>
      <c r="AQ126" s="44">
        <f t="shared" si="149"/>
        <v>38688.753226710462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30</v>
      </c>
      <c r="G127" s="35">
        <f>SUMIFS(WORKING!$AC$3:$AC$6802,WORKING!$A$3:$A$6802,Results!$D$3,WORKING!$B$3:$B$6802,Results!A127,WORKING!$C$3:$C$6802,Results!C127)/1000</f>
        <v>11238.414919999999</v>
      </c>
      <c r="H127" s="35">
        <f t="shared" si="134"/>
        <v>374.61383066666662</v>
      </c>
      <c r="I127" s="187">
        <v>66</v>
      </c>
      <c r="J127" s="212">
        <v>26131.910760000002</v>
      </c>
      <c r="K127" s="217">
        <f t="shared" si="135"/>
        <v>395.93804181818183</v>
      </c>
      <c r="L127" s="34">
        <f t="shared" si="128"/>
        <v>66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431.20285123177172</v>
      </c>
      <c r="N127" s="57">
        <v>6</v>
      </c>
      <c r="O127" s="57">
        <v>0</v>
      </c>
      <c r="P127" s="61">
        <f t="shared" si="129"/>
        <v>72</v>
      </c>
      <c r="Q127" s="40">
        <f t="shared" si="136"/>
        <v>2587.2171073906302</v>
      </c>
      <c r="R127" s="40">
        <f t="shared" si="137"/>
        <v>0</v>
      </c>
      <c r="S127" s="44">
        <f t="shared" si="138"/>
        <v>31046.605288687562</v>
      </c>
      <c r="T127" s="35">
        <f t="shared" si="139"/>
        <v>72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467.92909433549681</v>
      </c>
      <c r="V127" s="57">
        <v>0</v>
      </c>
      <c r="W127" s="57">
        <v>0</v>
      </c>
      <c r="X127" s="61">
        <f t="shared" si="130"/>
        <v>72</v>
      </c>
      <c r="Y127" s="40">
        <f t="shared" si="140"/>
        <v>0</v>
      </c>
      <c r="Z127" s="40">
        <f t="shared" si="141"/>
        <v>0</v>
      </c>
      <c r="AA127" s="44">
        <f t="shared" si="142"/>
        <v>33690.89479215577</v>
      </c>
      <c r="AB127" s="35">
        <f t="shared" si="143"/>
        <v>72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507.3089475262596</v>
      </c>
      <c r="AD127" s="57">
        <v>0</v>
      </c>
      <c r="AE127" s="57">
        <v>0</v>
      </c>
      <c r="AF127" s="61">
        <f t="shared" si="131"/>
        <v>72</v>
      </c>
      <c r="AG127" s="40">
        <f t="shared" si="144"/>
        <v>0</v>
      </c>
      <c r="AH127" s="40">
        <f t="shared" si="145"/>
        <v>0</v>
      </c>
      <c r="AI127" s="44">
        <f t="shared" si="146"/>
        <v>36526.244221890694</v>
      </c>
      <c r="AJ127" s="35">
        <f t="shared" si="132"/>
        <v>72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548.97422053727678</v>
      </c>
      <c r="AL127" s="57">
        <v>0</v>
      </c>
      <c r="AM127" s="57">
        <v>0</v>
      </c>
      <c r="AN127" s="61">
        <f t="shared" si="133"/>
        <v>72</v>
      </c>
      <c r="AO127" s="40">
        <f t="shared" si="147"/>
        <v>0</v>
      </c>
      <c r="AP127" s="40">
        <f t="shared" si="148"/>
        <v>0</v>
      </c>
      <c r="AQ127" s="44">
        <f t="shared" si="149"/>
        <v>39526.143878683928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9</v>
      </c>
      <c r="G128" s="35">
        <f>SUMIFS(WORKING!$AC$3:$AC$6802,WORKING!$A$3:$A$6802,Results!$D$3,WORKING!$B$3:$B$6802,Results!A128,WORKING!$C$3:$C$6802,Results!C128)/1000</f>
        <v>4751.8429499999993</v>
      </c>
      <c r="H128" s="35">
        <f t="shared" si="134"/>
        <v>527.98254999999995</v>
      </c>
      <c r="I128" s="187">
        <v>28</v>
      </c>
      <c r="J128" s="212">
        <v>11337.459500000001</v>
      </c>
      <c r="K128" s="217">
        <f t="shared" si="135"/>
        <v>404.90926785714288</v>
      </c>
      <c r="L128" s="34">
        <f t="shared" si="128"/>
        <v>28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441.46432881202907</v>
      </c>
      <c r="N128" s="57">
        <v>16</v>
      </c>
      <c r="O128" s="57">
        <v>0</v>
      </c>
      <c r="P128" s="61">
        <f t="shared" si="129"/>
        <v>44</v>
      </c>
      <c r="Q128" s="40">
        <f t="shared" si="136"/>
        <v>7063.4292609924651</v>
      </c>
      <c r="R128" s="40">
        <f t="shared" si="137"/>
        <v>0</v>
      </c>
      <c r="S128" s="44">
        <f t="shared" si="138"/>
        <v>19424.430467729278</v>
      </c>
      <c r="T128" s="35">
        <f t="shared" si="139"/>
        <v>44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479.21460866598107</v>
      </c>
      <c r="V128" s="57">
        <v>0</v>
      </c>
      <c r="W128" s="57">
        <v>0</v>
      </c>
      <c r="X128" s="61">
        <f t="shared" si="130"/>
        <v>44</v>
      </c>
      <c r="Y128" s="40">
        <f t="shared" si="140"/>
        <v>0</v>
      </c>
      <c r="Z128" s="40">
        <f t="shared" si="141"/>
        <v>0</v>
      </c>
      <c r="AA128" s="44">
        <f t="shared" si="142"/>
        <v>21085.442781303169</v>
      </c>
      <c r="AB128" s="35">
        <f t="shared" si="143"/>
        <v>44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519.70704879225639</v>
      </c>
      <c r="AD128" s="57">
        <v>0</v>
      </c>
      <c r="AE128" s="57">
        <v>0</v>
      </c>
      <c r="AF128" s="61">
        <f t="shared" si="131"/>
        <v>44</v>
      </c>
      <c r="AG128" s="40">
        <f t="shared" si="144"/>
        <v>0</v>
      </c>
      <c r="AH128" s="40">
        <f t="shared" si="145"/>
        <v>0</v>
      </c>
      <c r="AI128" s="44">
        <f t="shared" si="146"/>
        <v>22867.110146859282</v>
      </c>
      <c r="AJ128" s="35">
        <f t="shared" si="132"/>
        <v>44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562.56703456014566</v>
      </c>
      <c r="AL128" s="57">
        <v>0</v>
      </c>
      <c r="AM128" s="57">
        <v>0</v>
      </c>
      <c r="AN128" s="61">
        <f t="shared" si="133"/>
        <v>44</v>
      </c>
      <c r="AO128" s="40">
        <f t="shared" si="147"/>
        <v>0</v>
      </c>
      <c r="AP128" s="40">
        <f t="shared" si="148"/>
        <v>0</v>
      </c>
      <c r="AQ128" s="44">
        <f t="shared" si="149"/>
        <v>24752.949520646409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21</v>
      </c>
      <c r="G129" s="35">
        <f>SUMIFS(WORKING!$AC$3:$AC$6802,WORKING!$A$3:$A$6802,Results!$D$3,WORKING!$B$3:$B$6802,Results!A129,WORKING!$C$3:$C$6802,Results!C129)/1000</f>
        <v>11081.455109999999</v>
      </c>
      <c r="H129" s="35">
        <f t="shared" si="134"/>
        <v>527.68833857142852</v>
      </c>
      <c r="I129" s="187">
        <v>72</v>
      </c>
      <c r="J129" s="212">
        <v>44291.420329999994</v>
      </c>
      <c r="K129" s="217">
        <f t="shared" si="135"/>
        <v>615.15861569444439</v>
      </c>
      <c r="L129" s="34">
        <f t="shared" si="128"/>
        <v>72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670.39157278567734</v>
      </c>
      <c r="N129" s="57">
        <v>6</v>
      </c>
      <c r="O129" s="57">
        <v>1</v>
      </c>
      <c r="P129" s="61">
        <f t="shared" si="129"/>
        <v>77</v>
      </c>
      <c r="Q129" s="40">
        <f t="shared" si="136"/>
        <v>4022.3494367140638</v>
      </c>
      <c r="R129" s="40">
        <f t="shared" si="137"/>
        <v>-670.39157278567734</v>
      </c>
      <c r="S129" s="44">
        <f t="shared" si="138"/>
        <v>51620.151104497156</v>
      </c>
      <c r="T129" s="35">
        <f t="shared" si="139"/>
        <v>77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727.62791713030742</v>
      </c>
      <c r="V129" s="57">
        <v>0</v>
      </c>
      <c r="W129" s="57">
        <v>0</v>
      </c>
      <c r="X129" s="61">
        <f t="shared" si="130"/>
        <v>77</v>
      </c>
      <c r="Y129" s="40">
        <f t="shared" si="140"/>
        <v>0</v>
      </c>
      <c r="Z129" s="40">
        <f t="shared" si="141"/>
        <v>0</v>
      </c>
      <c r="AA129" s="44">
        <f t="shared" si="142"/>
        <v>56027.349619033674</v>
      </c>
      <c r="AB129" s="35">
        <f t="shared" si="143"/>
        <v>77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789.01304612880688</v>
      </c>
      <c r="AD129" s="57">
        <v>0</v>
      </c>
      <c r="AE129" s="57">
        <v>0</v>
      </c>
      <c r="AF129" s="61">
        <f t="shared" si="131"/>
        <v>77</v>
      </c>
      <c r="AG129" s="40">
        <f t="shared" si="144"/>
        <v>0</v>
      </c>
      <c r="AH129" s="40">
        <f t="shared" si="145"/>
        <v>0</v>
      </c>
      <c r="AI129" s="44">
        <f t="shared" si="146"/>
        <v>60754.004551918129</v>
      </c>
      <c r="AJ129" s="35">
        <f t="shared" si="132"/>
        <v>77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853.97650451546997</v>
      </c>
      <c r="AL129" s="57">
        <v>0</v>
      </c>
      <c r="AM129" s="57">
        <v>0</v>
      </c>
      <c r="AN129" s="61">
        <f t="shared" si="133"/>
        <v>77</v>
      </c>
      <c r="AO129" s="40">
        <f t="shared" si="147"/>
        <v>0</v>
      </c>
      <c r="AP129" s="40">
        <f t="shared" si="148"/>
        <v>0</v>
      </c>
      <c r="AQ129" s="44">
        <f t="shared" si="149"/>
        <v>65756.190847691192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5</v>
      </c>
      <c r="G130" s="35">
        <f>SUMIFS(WORKING!$AC$3:$AC$6802,WORKING!$A$3:$A$6802,Results!$D$3,WORKING!$B$3:$B$6802,Results!A130,WORKING!$C$3:$C$6802,Results!C130)/1000</f>
        <v>3471.8355199999996</v>
      </c>
      <c r="H130" s="35">
        <f t="shared" si="134"/>
        <v>694.36710399999993</v>
      </c>
      <c r="I130" s="187">
        <v>22</v>
      </c>
      <c r="J130" s="212">
        <v>7931.1352200000001</v>
      </c>
      <c r="K130" s="217">
        <f t="shared" si="135"/>
        <v>360.50614636363639</v>
      </c>
      <c r="L130" s="34">
        <f t="shared" si="128"/>
        <v>22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393.4900628040312</v>
      </c>
      <c r="N130" s="57">
        <v>7</v>
      </c>
      <c r="O130" s="57">
        <v>0</v>
      </c>
      <c r="P130" s="61">
        <f t="shared" si="129"/>
        <v>29</v>
      </c>
      <c r="Q130" s="40">
        <f t="shared" si="136"/>
        <v>2754.4304396282182</v>
      </c>
      <c r="R130" s="40">
        <f t="shared" si="137"/>
        <v>0</v>
      </c>
      <c r="S130" s="44">
        <f t="shared" si="138"/>
        <v>11411.211821316905</v>
      </c>
      <c r="T130" s="35">
        <f t="shared" si="139"/>
        <v>29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427.09685276208404</v>
      </c>
      <c r="V130" s="57">
        <v>0</v>
      </c>
      <c r="W130" s="57">
        <v>0</v>
      </c>
      <c r="X130" s="61">
        <f t="shared" si="130"/>
        <v>29</v>
      </c>
      <c r="Y130" s="40">
        <f t="shared" si="140"/>
        <v>0</v>
      </c>
      <c r="Z130" s="40">
        <f t="shared" si="141"/>
        <v>0</v>
      </c>
      <c r="AA130" s="44">
        <f t="shared" si="142"/>
        <v>12385.808730100438</v>
      </c>
      <c r="AB130" s="35">
        <f t="shared" si="143"/>
        <v>29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463.14064984537032</v>
      </c>
      <c r="AD130" s="57">
        <v>0</v>
      </c>
      <c r="AE130" s="57">
        <v>0</v>
      </c>
      <c r="AF130" s="61">
        <f t="shared" si="131"/>
        <v>29</v>
      </c>
      <c r="AG130" s="40">
        <f t="shared" si="144"/>
        <v>0</v>
      </c>
      <c r="AH130" s="40">
        <f t="shared" si="145"/>
        <v>0</v>
      </c>
      <c r="AI130" s="44">
        <f t="shared" si="146"/>
        <v>13431.07884551574</v>
      </c>
      <c r="AJ130" s="35">
        <f t="shared" si="132"/>
        <v>29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501.28665641297698</v>
      </c>
      <c r="AL130" s="57">
        <v>0</v>
      </c>
      <c r="AM130" s="57">
        <v>0</v>
      </c>
      <c r="AN130" s="61">
        <f t="shared" si="133"/>
        <v>29</v>
      </c>
      <c r="AO130" s="40">
        <f t="shared" si="147"/>
        <v>0</v>
      </c>
      <c r="AP130" s="40">
        <f t="shared" si="148"/>
        <v>0</v>
      </c>
      <c r="AQ130" s="44">
        <f t="shared" si="149"/>
        <v>14537.313035976333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26</v>
      </c>
      <c r="G131" s="35">
        <f>SUMIFS(WORKING!$AC$3:$AC$6802,WORKING!$A$3:$A$6802,Results!$D$3,WORKING!$B$3:$B$6802,Results!A131,WORKING!$C$3:$C$6802,Results!C131)/1000</f>
        <v>19187.864849999998</v>
      </c>
      <c r="H131" s="35">
        <f t="shared" si="134"/>
        <v>737.99480192307681</v>
      </c>
      <c r="I131" s="187">
        <v>71</v>
      </c>
      <c r="J131" s="212">
        <v>51495.850059999997</v>
      </c>
      <c r="K131" s="217">
        <f t="shared" si="135"/>
        <v>725.29366281690136</v>
      </c>
      <c r="L131" s="34">
        <f t="shared" si="128"/>
        <v>71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791.76440559227183</v>
      </c>
      <c r="N131" s="57">
        <v>16</v>
      </c>
      <c r="O131" s="57">
        <v>0</v>
      </c>
      <c r="P131" s="61">
        <f t="shared" si="129"/>
        <v>87</v>
      </c>
      <c r="Q131" s="40">
        <f t="shared" si="136"/>
        <v>12668.230489476349</v>
      </c>
      <c r="R131" s="40">
        <f t="shared" si="137"/>
        <v>0</v>
      </c>
      <c r="S131" s="44">
        <f t="shared" si="138"/>
        <v>68883.503286527644</v>
      </c>
      <c r="T131" s="35">
        <f t="shared" si="139"/>
        <v>87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859.50730290866727</v>
      </c>
      <c r="V131" s="57">
        <v>0</v>
      </c>
      <c r="W131" s="57">
        <v>0</v>
      </c>
      <c r="X131" s="61">
        <f t="shared" si="130"/>
        <v>87</v>
      </c>
      <c r="Y131" s="40">
        <f t="shared" si="140"/>
        <v>0</v>
      </c>
      <c r="Z131" s="40">
        <f t="shared" si="141"/>
        <v>0</v>
      </c>
      <c r="AA131" s="44">
        <f t="shared" si="142"/>
        <v>74777.135353054051</v>
      </c>
      <c r="AB131" s="35">
        <f t="shared" si="143"/>
        <v>87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932.17423688067026</v>
      </c>
      <c r="AD131" s="57">
        <v>0</v>
      </c>
      <c r="AE131" s="57">
        <v>0</v>
      </c>
      <c r="AF131" s="61">
        <f t="shared" si="131"/>
        <v>87</v>
      </c>
      <c r="AG131" s="40">
        <f t="shared" si="144"/>
        <v>0</v>
      </c>
      <c r="AH131" s="40">
        <f t="shared" si="145"/>
        <v>0</v>
      </c>
      <c r="AI131" s="44">
        <f t="shared" si="146"/>
        <v>81099.158608618309</v>
      </c>
      <c r="AJ131" s="35">
        <f t="shared" si="132"/>
        <v>87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1009.0933284948605</v>
      </c>
      <c r="AL131" s="57">
        <v>0</v>
      </c>
      <c r="AM131" s="57">
        <v>0</v>
      </c>
      <c r="AN131" s="61">
        <f t="shared" si="133"/>
        <v>87</v>
      </c>
      <c r="AO131" s="40">
        <f t="shared" si="147"/>
        <v>0</v>
      </c>
      <c r="AP131" s="40">
        <f t="shared" si="148"/>
        <v>0</v>
      </c>
      <c r="AQ131" s="44">
        <f t="shared" si="149"/>
        <v>87791.119579052873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13</v>
      </c>
      <c r="G132" s="35">
        <f>SUMIFS(WORKING!$AC$3:$AC$6802,WORKING!$A$3:$A$6802,Results!$D$3,WORKING!$B$3:$B$6802,Results!A132,WORKING!$C$3:$C$6802,Results!C132)/1000</f>
        <v>12255.974450000002</v>
      </c>
      <c r="H132" s="35">
        <f t="shared" si="134"/>
        <v>942.76726538461548</v>
      </c>
      <c r="I132" s="187">
        <v>23</v>
      </c>
      <c r="J132" s="212">
        <v>24668.735390000002</v>
      </c>
      <c r="K132" s="217">
        <f t="shared" si="135"/>
        <v>1072.5537126086958</v>
      </c>
      <c r="L132" s="34">
        <f t="shared" si="128"/>
        <v>23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1123.5944182554015</v>
      </c>
      <c r="N132" s="57">
        <v>10</v>
      </c>
      <c r="O132" s="57">
        <v>0</v>
      </c>
      <c r="P132" s="61">
        <f t="shared" si="129"/>
        <v>33</v>
      </c>
      <c r="Q132" s="40">
        <f t="shared" si="136"/>
        <v>11235.944182554014</v>
      </c>
      <c r="R132" s="40">
        <f t="shared" si="137"/>
        <v>0</v>
      </c>
      <c r="S132" s="44">
        <f t="shared" si="138"/>
        <v>37078.615802428249</v>
      </c>
      <c r="T132" s="35">
        <f t="shared" si="139"/>
        <v>33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1207.8295188090979</v>
      </c>
      <c r="V132" s="57">
        <v>0</v>
      </c>
      <c r="W132" s="57">
        <v>0</v>
      </c>
      <c r="X132" s="61">
        <f t="shared" si="130"/>
        <v>33</v>
      </c>
      <c r="Y132" s="40">
        <f t="shared" si="140"/>
        <v>0</v>
      </c>
      <c r="Z132" s="40">
        <f t="shared" si="141"/>
        <v>0</v>
      </c>
      <c r="AA132" s="44">
        <f t="shared" si="142"/>
        <v>39858.374120700231</v>
      </c>
      <c r="AB132" s="35">
        <f t="shared" si="143"/>
        <v>33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1297.1547804230986</v>
      </c>
      <c r="AD132" s="57">
        <v>0</v>
      </c>
      <c r="AE132" s="57">
        <v>0</v>
      </c>
      <c r="AF132" s="61">
        <f t="shared" si="131"/>
        <v>33</v>
      </c>
      <c r="AG132" s="40">
        <f t="shared" si="144"/>
        <v>0</v>
      </c>
      <c r="AH132" s="40">
        <f t="shared" si="145"/>
        <v>0</v>
      </c>
      <c r="AI132" s="44">
        <f t="shared" si="146"/>
        <v>42806.107753962257</v>
      </c>
      <c r="AJ132" s="35">
        <f t="shared" si="132"/>
        <v>33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1390.4551623552181</v>
      </c>
      <c r="AL132" s="57">
        <v>0</v>
      </c>
      <c r="AM132" s="57">
        <v>0</v>
      </c>
      <c r="AN132" s="61">
        <f t="shared" si="133"/>
        <v>33</v>
      </c>
      <c r="AO132" s="40">
        <f t="shared" si="147"/>
        <v>0</v>
      </c>
      <c r="AP132" s="40">
        <f t="shared" si="148"/>
        <v>0</v>
      </c>
      <c r="AQ132" s="44">
        <f t="shared" si="149"/>
        <v>45885.020357722198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648.93021999999996</v>
      </c>
      <c r="H133" s="35">
        <f t="shared" si="134"/>
        <v>0</v>
      </c>
      <c r="I133" s="187" t="s">
        <v>754</v>
      </c>
      <c r="J133" s="212">
        <v>1584.7410099999997</v>
      </c>
      <c r="K133" s="217" t="str">
        <f t="shared" si="135"/>
        <v/>
      </c>
      <c r="L133" s="34">
        <f t="shared" si="128"/>
        <v>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0</v>
      </c>
      <c r="N133" s="57">
        <v>2</v>
      </c>
      <c r="O133" s="57">
        <v>0</v>
      </c>
      <c r="P133" s="61">
        <f t="shared" si="129"/>
        <v>2</v>
      </c>
      <c r="Q133" s="40">
        <f t="shared" si="136"/>
        <v>0</v>
      </c>
      <c r="R133" s="40">
        <f t="shared" si="137"/>
        <v>0</v>
      </c>
      <c r="S133" s="44">
        <f t="shared" si="138"/>
        <v>0</v>
      </c>
      <c r="T133" s="35">
        <f t="shared" si="139"/>
        <v>2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0</v>
      </c>
      <c r="V133" s="57">
        <v>0</v>
      </c>
      <c r="W133" s="57">
        <v>0</v>
      </c>
      <c r="X133" s="61">
        <f t="shared" si="130"/>
        <v>2</v>
      </c>
      <c r="Y133" s="40">
        <f t="shared" si="140"/>
        <v>0</v>
      </c>
      <c r="Z133" s="40">
        <f t="shared" si="141"/>
        <v>0</v>
      </c>
      <c r="AA133" s="44">
        <f t="shared" si="142"/>
        <v>0</v>
      </c>
      <c r="AB133" s="35">
        <f t="shared" si="143"/>
        <v>2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0</v>
      </c>
      <c r="AD133" s="57">
        <v>0</v>
      </c>
      <c r="AE133" s="57">
        <v>0</v>
      </c>
      <c r="AF133" s="61">
        <f t="shared" si="131"/>
        <v>2</v>
      </c>
      <c r="AG133" s="40">
        <f t="shared" si="144"/>
        <v>0</v>
      </c>
      <c r="AH133" s="40">
        <f t="shared" si="145"/>
        <v>0</v>
      </c>
      <c r="AI133" s="44">
        <f t="shared" si="146"/>
        <v>0</v>
      </c>
      <c r="AJ133" s="35">
        <f t="shared" si="132"/>
        <v>2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0</v>
      </c>
      <c r="AL133" s="57">
        <v>0</v>
      </c>
      <c r="AM133" s="57">
        <v>0</v>
      </c>
      <c r="AN133" s="61">
        <f t="shared" si="133"/>
        <v>2</v>
      </c>
      <c r="AO133" s="40">
        <f t="shared" si="147"/>
        <v>0</v>
      </c>
      <c r="AP133" s="40">
        <f t="shared" si="148"/>
        <v>0</v>
      </c>
      <c r="AQ133" s="44">
        <f t="shared" si="149"/>
        <v>0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>
        <v>850.58205000000009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309</v>
      </c>
      <c r="G140" s="41">
        <f>SUM(G120:G139)</f>
        <v>105530.68489999998</v>
      </c>
      <c r="H140" s="41">
        <f>IFERROR(G140/F140,0)</f>
        <v>341.5232521035598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589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237666.72020999997</v>
      </c>
      <c r="K140" s="41">
        <f>IFERROR(J140/I140,"")</f>
        <v>403.50886283531406</v>
      </c>
      <c r="L140" s="41">
        <f>SUM(L120:L139)</f>
        <v>589</v>
      </c>
      <c r="M140" s="41">
        <f>IFERROR(S140/P140,0)</f>
        <v>424.31246835295303</v>
      </c>
      <c r="N140" s="41">
        <f t="shared" ref="N140:T140" si="151">SUM(N120:N139)</f>
        <v>152</v>
      </c>
      <c r="O140" s="41">
        <f t="shared" si="151"/>
        <v>3</v>
      </c>
      <c r="P140" s="41">
        <f t="shared" si="151"/>
        <v>738</v>
      </c>
      <c r="Q140" s="41">
        <f t="shared" si="151"/>
        <v>59136.698503632717</v>
      </c>
      <c r="R140" s="41">
        <f t="shared" si="151"/>
        <v>-1187.7923009891319</v>
      </c>
      <c r="S140" s="45">
        <f t="shared" si="151"/>
        <v>313142.60164447932</v>
      </c>
      <c r="T140" s="41">
        <f t="shared" si="151"/>
        <v>738</v>
      </c>
      <c r="U140" s="41">
        <f>IFERROR(AA140/X140,0)</f>
        <v>460.24477703754735</v>
      </c>
      <c r="V140" s="41">
        <f t="shared" ref="V140:AB140" si="152">SUM(V120:V139)</f>
        <v>0</v>
      </c>
      <c r="W140" s="41">
        <f t="shared" si="152"/>
        <v>1</v>
      </c>
      <c r="X140" s="41">
        <f t="shared" si="152"/>
        <v>737</v>
      </c>
      <c r="Y140" s="41">
        <f t="shared" si="152"/>
        <v>0</v>
      </c>
      <c r="Z140" s="41">
        <f t="shared" si="152"/>
        <v>-213.80955806951928</v>
      </c>
      <c r="AA140" s="45">
        <f t="shared" si="152"/>
        <v>339200.40067667241</v>
      </c>
      <c r="AB140" s="41">
        <f t="shared" si="152"/>
        <v>737</v>
      </c>
      <c r="AC140" s="41">
        <f>IFERROR(AI140/AF140,0)</f>
        <v>498.75828707955128</v>
      </c>
      <c r="AD140" s="41">
        <f t="shared" ref="AD140:AJ140" si="153">SUM(AD120:AD139)</f>
        <v>0</v>
      </c>
      <c r="AE140" s="41">
        <f t="shared" si="153"/>
        <v>1</v>
      </c>
      <c r="AF140" s="41">
        <f t="shared" si="153"/>
        <v>736</v>
      </c>
      <c r="AG140" s="41">
        <f t="shared" si="153"/>
        <v>0</v>
      </c>
      <c r="AH140" s="41">
        <f t="shared" si="153"/>
        <v>-231.53831003436886</v>
      </c>
      <c r="AI140" s="45">
        <f t="shared" si="153"/>
        <v>367086.09929054976</v>
      </c>
      <c r="AJ140" s="41">
        <f t="shared" si="153"/>
        <v>736</v>
      </c>
      <c r="AK140" s="41">
        <f>IFERROR(AQ140/AN140,0)</f>
        <v>539.09521288122971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736</v>
      </c>
      <c r="AO140" s="41">
        <f t="shared" si="154"/>
        <v>0</v>
      </c>
      <c r="AP140" s="41">
        <f t="shared" si="154"/>
        <v>0</v>
      </c>
      <c r="AQ140" s="45">
        <f t="shared" si="154"/>
        <v>396774.07668058504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125334.00000000003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131181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138903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149459.628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-187808.60164447929</v>
      </c>
      <c r="T142" s="39"/>
      <c r="U142" s="39"/>
      <c r="V142" s="53"/>
      <c r="W142" s="53"/>
      <c r="X142" s="110"/>
      <c r="Y142" s="39"/>
      <c r="Z142" s="39"/>
      <c r="AA142" s="54">
        <f>AA141-AA140</f>
        <v>-208019.40067667241</v>
      </c>
      <c r="AB142" s="39"/>
      <c r="AC142" s="53"/>
      <c r="AD142" s="53"/>
      <c r="AE142" s="110"/>
      <c r="AF142" s="39"/>
      <c r="AG142" s="39"/>
      <c r="AH142" s="39"/>
      <c r="AI142" s="54">
        <f>AI141-AI140</f>
        <v>-228183.09929054976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-247314.44868058505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Water and Sanitation Services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1</v>
      </c>
      <c r="G150" s="35">
        <f>SUMIFS(WORKING!$AC$3:$AC$6802,WORKING!$A$3:$A$6802,Results!$D$3,WORKING!$B$3:$B$6802,Results!A150,WORKING!$C$3:$C$6802,Results!C150)/1000</f>
        <v>242.70913000000002</v>
      </c>
      <c r="H150" s="35">
        <f t="shared" si="161"/>
        <v>242.70913000000002</v>
      </c>
      <c r="I150" s="187">
        <v>0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263.27103728149336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285.36795909778436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309.03057156231949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334.02945392948533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2</v>
      </c>
      <c r="G151" s="35">
        <f>SUMIFS(WORKING!$AC$3:$AC$6802,WORKING!$A$3:$A$6802,Results!$D$3,WORKING!$B$3:$B$6802,Results!A151,WORKING!$C$3:$C$6802,Results!C151)/1000</f>
        <v>472.81314000000003</v>
      </c>
      <c r="H151" s="35">
        <f t="shared" si="161"/>
        <v>236.40657000000002</v>
      </c>
      <c r="I151" s="187">
        <v>0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256.74946481704882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278.40066386375025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301.59548428898802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326.11138334651582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14</v>
      </c>
      <c r="G152" s="35">
        <f>SUMIFS(WORKING!$AC$3:$AC$6802,WORKING!$A$3:$A$6802,Results!$D$3,WORKING!$B$3:$B$6802,Results!A152,WORKING!$C$3:$C$6802,Results!C152)/1000</f>
        <v>2831.7427500000003</v>
      </c>
      <c r="H152" s="35">
        <f t="shared" si="161"/>
        <v>202.26733928571431</v>
      </c>
      <c r="I152" s="187">
        <v>0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219.94111681897493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238.56711712778537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258.5287705993498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279.63679991970685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28</v>
      </c>
      <c r="G153" s="35">
        <f>SUMIFS(WORKING!$AC$3:$AC$6802,WORKING!$A$3:$A$6802,Results!$D$3,WORKING!$B$3:$B$6802,Results!A153,WORKING!$C$3:$C$6802,Results!C153)/1000</f>
        <v>7834.0847599999997</v>
      </c>
      <c r="H153" s="35">
        <f t="shared" si="161"/>
        <v>279.78874142857143</v>
      </c>
      <c r="I153" s="187">
        <v>0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304.16403290251134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329.90152340691083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357.48256479187017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386.64502932112964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52</v>
      </c>
      <c r="G154" s="35">
        <f>SUMIFS(WORKING!$AC$3:$AC$6802,WORKING!$A$3:$A$6802,Results!$D$3,WORKING!$B$3:$B$6802,Results!A154,WORKING!$C$3:$C$6802,Results!C154)/1000</f>
        <v>15099.169230000001</v>
      </c>
      <c r="H154" s="35">
        <f t="shared" si="161"/>
        <v>290.36863903846154</v>
      </c>
      <c r="I154" s="187">
        <v>0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316.0498896358659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342.91162714890595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371.70882499544399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402.1708409996786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36</v>
      </c>
      <c r="G155" s="35">
        <f>SUMIFS(WORKING!$AC$3:$AC$6802,WORKING!$A$3:$A$6802,Results!$D$3,WORKING!$B$3:$B$6802,Results!A155,WORKING!$C$3:$C$6802,Results!C155)/1000</f>
        <v>14893.495840000003</v>
      </c>
      <c r="H155" s="35">
        <f t="shared" si="161"/>
        <v>413.70821777777786</v>
      </c>
      <c r="I155" s="187">
        <v>0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450.56628828424067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488.94534024634186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530.09774958409093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573.63881865140661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19</v>
      </c>
      <c r="G156" s="35">
        <f>SUMIFS(WORKING!$AC$3:$AC$6802,WORKING!$A$3:$A$6802,Results!$D$3,WORKING!$B$3:$B$6802,Results!A156,WORKING!$C$3:$C$6802,Results!C156)/1000</f>
        <v>6585.6165500000006</v>
      </c>
      <c r="H156" s="35">
        <f t="shared" si="161"/>
        <v>346.61139736842108</v>
      </c>
      <c r="I156" s="187">
        <v>0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377.62951416508861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409.83856663898308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444.37922487793799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480.9296889096492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62</v>
      </c>
      <c r="G157" s="35">
        <f>SUMIFS(WORKING!$AC$3:$AC$6802,WORKING!$A$3:$A$6802,Results!$D$3,WORKING!$B$3:$B$6802,Results!A157,WORKING!$C$3:$C$6802,Results!C157)/1000</f>
        <v>33209.965219999998</v>
      </c>
      <c r="H157" s="35">
        <f t="shared" si="161"/>
        <v>535.64460032258057</v>
      </c>
      <c r="I157" s="187">
        <v>0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583.99580808843621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633.935060894662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687.50181430738246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744.20032341036983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6</v>
      </c>
      <c r="G158" s="35">
        <f>SUMIFS(WORKING!$AC$3:$AC$6802,WORKING!$A$3:$A$6802,Results!$D$3,WORKING!$B$3:$B$6802,Results!A158,WORKING!$C$3:$C$6802,Results!C158)/1000</f>
        <v>4459.2997000000005</v>
      </c>
      <c r="H158" s="35">
        <f t="shared" si="161"/>
        <v>743.21661666666671</v>
      </c>
      <c r="I158" s="187">
        <v>0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811.46621812763351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881.04275561924067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955.69090294081946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1034.7242651375461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42</v>
      </c>
      <c r="G159" s="35">
        <f>SUMIFS(WORKING!$AC$3:$AC$6802,WORKING!$A$3:$A$6802,Results!$D$3,WORKING!$B$3:$B$6802,Results!A159,WORKING!$C$3:$C$6802,Results!C159)/1000</f>
        <v>32307.985209999999</v>
      </c>
      <c r="H159" s="35">
        <f t="shared" si="161"/>
        <v>769.2377430952381</v>
      </c>
      <c r="I159" s="187">
        <v>0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839.78949777707624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911.69967428799873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988.84241744705002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1070.5059608687541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11</v>
      </c>
      <c r="G160" s="35">
        <f>SUMIFS(WORKING!$AC$3:$AC$6802,WORKING!$A$3:$A$6802,Results!$D$3,WORKING!$B$3:$B$6802,Results!A160,WORKING!$C$3:$C$6802,Results!C160)/1000</f>
        <v>12412.760939999998</v>
      </c>
      <c r="H160" s="35">
        <f t="shared" si="161"/>
        <v>1128.4328127272727</v>
      </c>
      <c r="I160" s="187">
        <v>0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1182.4025617116952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1271.3366340469772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1365.6702725638786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1464.2329563550579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935.81078999999988</v>
      </c>
      <c r="H161" s="35">
        <f t="shared" si="161"/>
        <v>935.81078999999988</v>
      </c>
      <c r="I161" s="187">
        <v>0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981.09868638839976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1055.4626851391322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1134.3920345321096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1216.9212643692827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850.58205000000009</v>
      </c>
      <c r="H162" s="35">
        <f t="shared" si="161"/>
        <v>850.58205000000009</v>
      </c>
      <c r="I162" s="187">
        <v>0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891.59059617795015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959.00371316623216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1030.5408059503445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1105.3227900447907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275</v>
      </c>
      <c r="G168" s="41">
        <f>SUM(G148:G167)</f>
        <v>132136.03530999998</v>
      </c>
      <c r="H168" s="41">
        <f>IFERROR(G168/F168,0)</f>
        <v>480.4946738545454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132136.03530999998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175053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171149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180234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193931.78400000001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175053</v>
      </c>
      <c r="T170" s="39"/>
      <c r="U170" s="39"/>
      <c r="V170" s="53"/>
      <c r="W170" s="53"/>
      <c r="X170" s="110"/>
      <c r="Y170" s="39"/>
      <c r="Z170" s="39"/>
      <c r="AA170" s="54">
        <f>AA169-AA168</f>
        <v>171149</v>
      </c>
      <c r="AB170" s="39"/>
      <c r="AC170" s="53"/>
      <c r="AD170" s="53"/>
      <c r="AE170" s="110"/>
      <c r="AF170" s="39"/>
      <c r="AG170" s="39"/>
      <c r="AH170" s="39"/>
      <c r="AI170" s="54">
        <f>AI169-AI168</f>
        <v>180234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193931.78400000001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Water Sector Regulation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1196.0846000000001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3554.7845600000005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1244.8693400000002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51</v>
      </c>
      <c r="G180" s="35">
        <f>SUMIFS(WORKING!$AC$3:$AC$6802,WORKING!$A$3:$A$6802,Results!$D$3,WORKING!$B$3:$B$6802,Results!A180,WORKING!$C$3:$C$6802,Results!C180)/1000</f>
        <v>12712.53759</v>
      </c>
      <c r="H180" s="35">
        <f t="shared" si="187"/>
        <v>249.26544294117647</v>
      </c>
      <c r="I180" s="187">
        <v>51</v>
      </c>
      <c r="J180" s="212" t="s">
        <v>754</v>
      </c>
      <c r="K180" s="217">
        <f t="shared" si="188"/>
        <v>249.26544294117647</v>
      </c>
      <c r="L180" s="34">
        <f t="shared" si="181"/>
        <v>51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271.36593374101977</v>
      </c>
      <c r="N180" s="57">
        <v>1</v>
      </c>
      <c r="O180" s="57">
        <v>3</v>
      </c>
      <c r="P180" s="61">
        <f t="shared" si="182"/>
        <v>49</v>
      </c>
      <c r="Q180" s="40">
        <f t="shared" si="189"/>
        <v>271.36593374101977</v>
      </c>
      <c r="R180" s="40">
        <f t="shared" si="190"/>
        <v>-814.09780122305938</v>
      </c>
      <c r="S180" s="44">
        <f t="shared" si="191"/>
        <v>13296.930753309969</v>
      </c>
      <c r="T180" s="35">
        <f t="shared" si="192"/>
        <v>49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294.44696290073995</v>
      </c>
      <c r="V180" s="57">
        <v>0</v>
      </c>
      <c r="W180" s="57">
        <v>9</v>
      </c>
      <c r="X180" s="61">
        <f t="shared" si="183"/>
        <v>40</v>
      </c>
      <c r="Y180" s="40">
        <f t="shared" si="193"/>
        <v>0</v>
      </c>
      <c r="Z180" s="40">
        <f t="shared" si="194"/>
        <v>-2650.0226661066595</v>
      </c>
      <c r="AA180" s="44">
        <f t="shared" si="195"/>
        <v>11777.878516029597</v>
      </c>
      <c r="AB180" s="35">
        <f t="shared" si="196"/>
        <v>40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319.19265046137537</v>
      </c>
      <c r="AD180" s="57">
        <v>0</v>
      </c>
      <c r="AE180" s="57">
        <v>0</v>
      </c>
      <c r="AF180" s="61">
        <f t="shared" si="184"/>
        <v>40</v>
      </c>
      <c r="AG180" s="40">
        <f t="shared" si="197"/>
        <v>0</v>
      </c>
      <c r="AH180" s="40">
        <f t="shared" si="198"/>
        <v>0</v>
      </c>
      <c r="AI180" s="44">
        <f t="shared" si="199"/>
        <v>12767.706018455014</v>
      </c>
      <c r="AJ180" s="35">
        <f t="shared" si="185"/>
        <v>40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345.37082688262257</v>
      </c>
      <c r="AL180" s="57">
        <v>0</v>
      </c>
      <c r="AM180" s="57">
        <v>0</v>
      </c>
      <c r="AN180" s="61">
        <f t="shared" si="186"/>
        <v>40</v>
      </c>
      <c r="AO180" s="40">
        <f t="shared" si="200"/>
        <v>0</v>
      </c>
      <c r="AP180" s="40">
        <f t="shared" si="201"/>
        <v>0</v>
      </c>
      <c r="AQ180" s="44">
        <f t="shared" si="202"/>
        <v>13814.833075304903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23</v>
      </c>
      <c r="G181" s="35">
        <f>SUMIFS(WORKING!$AC$3:$AC$6802,WORKING!$A$3:$A$6802,Results!$D$3,WORKING!$B$3:$B$6802,Results!A181,WORKING!$C$3:$C$6802,Results!C181)/1000</f>
        <v>8263.503709999999</v>
      </c>
      <c r="H181" s="35">
        <f t="shared" si="187"/>
        <v>359.28276999999997</v>
      </c>
      <c r="I181" s="187">
        <v>22</v>
      </c>
      <c r="J181" s="212" t="s">
        <v>754</v>
      </c>
      <c r="K181" s="217">
        <f t="shared" si="188"/>
        <v>375.61380499999996</v>
      </c>
      <c r="L181" s="34">
        <f t="shared" si="181"/>
        <v>22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408.43389429255598</v>
      </c>
      <c r="N181" s="57">
        <v>0</v>
      </c>
      <c r="O181" s="57">
        <v>1</v>
      </c>
      <c r="P181" s="61">
        <f t="shared" si="182"/>
        <v>21</v>
      </c>
      <c r="Q181" s="40">
        <f t="shared" si="189"/>
        <v>0</v>
      </c>
      <c r="R181" s="40">
        <f t="shared" si="190"/>
        <v>-408.43389429255598</v>
      </c>
      <c r="S181" s="44">
        <f t="shared" si="191"/>
        <v>8577.1117801436758</v>
      </c>
      <c r="T181" s="35">
        <f t="shared" si="192"/>
        <v>21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443.02242172471279</v>
      </c>
      <c r="V181" s="57">
        <v>0</v>
      </c>
      <c r="W181" s="57">
        <v>0</v>
      </c>
      <c r="X181" s="61">
        <f t="shared" si="183"/>
        <v>21</v>
      </c>
      <c r="Y181" s="40">
        <f t="shared" si="193"/>
        <v>0</v>
      </c>
      <c r="Z181" s="40">
        <f t="shared" si="194"/>
        <v>0</v>
      </c>
      <c r="AA181" s="44">
        <f t="shared" si="195"/>
        <v>9303.470856218968</v>
      </c>
      <c r="AB181" s="35">
        <f t="shared" si="196"/>
        <v>21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480.09125180203915</v>
      </c>
      <c r="AD181" s="57">
        <v>0</v>
      </c>
      <c r="AE181" s="57">
        <v>0</v>
      </c>
      <c r="AF181" s="61">
        <f t="shared" si="184"/>
        <v>21</v>
      </c>
      <c r="AG181" s="40">
        <f t="shared" si="197"/>
        <v>0</v>
      </c>
      <c r="AH181" s="40">
        <f t="shared" si="198"/>
        <v>0</v>
      </c>
      <c r="AI181" s="44">
        <f t="shared" si="199"/>
        <v>10081.916287842821</v>
      </c>
      <c r="AJ181" s="35">
        <f t="shared" si="185"/>
        <v>21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519.28890839112796</v>
      </c>
      <c r="AL181" s="57">
        <v>0</v>
      </c>
      <c r="AM181" s="57">
        <v>0</v>
      </c>
      <c r="AN181" s="61">
        <f t="shared" si="186"/>
        <v>21</v>
      </c>
      <c r="AO181" s="40">
        <f t="shared" si="200"/>
        <v>0</v>
      </c>
      <c r="AP181" s="40">
        <f t="shared" si="201"/>
        <v>0</v>
      </c>
      <c r="AQ181" s="44">
        <f t="shared" si="202"/>
        <v>10905.067076213687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56</v>
      </c>
      <c r="G182" s="35">
        <f>SUMIFS(WORKING!$AC$3:$AC$6802,WORKING!$A$3:$A$6802,Results!$D$3,WORKING!$B$3:$B$6802,Results!A182,WORKING!$C$3:$C$6802,Results!C182)/1000</f>
        <v>20249.669550000006</v>
      </c>
      <c r="H182" s="35">
        <f t="shared" si="187"/>
        <v>361.6012419642858</v>
      </c>
      <c r="I182" s="187">
        <v>57</v>
      </c>
      <c r="J182" s="212" t="s">
        <v>754</v>
      </c>
      <c r="K182" s="217">
        <f t="shared" si="188"/>
        <v>355.25736052631589</v>
      </c>
      <c r="L182" s="34">
        <f t="shared" si="181"/>
        <v>57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386.87565928383304</v>
      </c>
      <c r="N182" s="57">
        <v>1</v>
      </c>
      <c r="O182" s="57">
        <v>3</v>
      </c>
      <c r="P182" s="61">
        <f t="shared" si="182"/>
        <v>55</v>
      </c>
      <c r="Q182" s="40">
        <f t="shared" si="189"/>
        <v>386.87565928383304</v>
      </c>
      <c r="R182" s="40">
        <f t="shared" si="190"/>
        <v>-1160.6269778514991</v>
      </c>
      <c r="S182" s="44">
        <f t="shared" si="191"/>
        <v>21278.161260610817</v>
      </c>
      <c r="T182" s="35">
        <f t="shared" si="192"/>
        <v>55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419.81905319838143</v>
      </c>
      <c r="V182" s="57">
        <v>0</v>
      </c>
      <c r="W182" s="57">
        <v>5</v>
      </c>
      <c r="X182" s="61">
        <f t="shared" si="183"/>
        <v>50</v>
      </c>
      <c r="Y182" s="40">
        <f t="shared" si="193"/>
        <v>0</v>
      </c>
      <c r="Z182" s="40">
        <f t="shared" si="194"/>
        <v>-2099.0952659919071</v>
      </c>
      <c r="AA182" s="44">
        <f t="shared" si="195"/>
        <v>20990.952659919072</v>
      </c>
      <c r="AB182" s="35">
        <f t="shared" si="196"/>
        <v>50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455.14201853910293</v>
      </c>
      <c r="AD182" s="57">
        <v>0</v>
      </c>
      <c r="AE182" s="57">
        <v>0</v>
      </c>
      <c r="AF182" s="61">
        <f t="shared" si="184"/>
        <v>50</v>
      </c>
      <c r="AG182" s="40">
        <f t="shared" si="197"/>
        <v>0</v>
      </c>
      <c r="AH182" s="40">
        <f t="shared" si="198"/>
        <v>0</v>
      </c>
      <c r="AI182" s="44">
        <f t="shared" si="199"/>
        <v>22757.100926955147</v>
      </c>
      <c r="AJ182" s="35">
        <f t="shared" si="185"/>
        <v>50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492.51410599434581</v>
      </c>
      <c r="AL182" s="57">
        <v>0</v>
      </c>
      <c r="AM182" s="57">
        <v>0</v>
      </c>
      <c r="AN182" s="61">
        <f t="shared" si="186"/>
        <v>50</v>
      </c>
      <c r="AO182" s="40">
        <f t="shared" si="200"/>
        <v>0</v>
      </c>
      <c r="AP182" s="40">
        <f t="shared" si="201"/>
        <v>0</v>
      </c>
      <c r="AQ182" s="44">
        <f t="shared" si="202"/>
        <v>24625.70529971729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40</v>
      </c>
      <c r="G183" s="35">
        <f>SUMIFS(WORKING!$AC$3:$AC$6802,WORKING!$A$3:$A$6802,Results!$D$3,WORKING!$B$3:$B$6802,Results!A183,WORKING!$C$3:$C$6802,Results!C183)/1000</f>
        <v>17201.29924</v>
      </c>
      <c r="H183" s="35">
        <f t="shared" si="187"/>
        <v>430.03248100000002</v>
      </c>
      <c r="I183" s="187">
        <v>40</v>
      </c>
      <c r="J183" s="212" t="s">
        <v>754</v>
      </c>
      <c r="K183" s="217">
        <f t="shared" si="188"/>
        <v>430.03248100000002</v>
      </c>
      <c r="L183" s="34">
        <f t="shared" si="181"/>
        <v>40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468.24120281322115</v>
      </c>
      <c r="N183" s="57">
        <v>0</v>
      </c>
      <c r="O183" s="57">
        <v>2</v>
      </c>
      <c r="P183" s="61">
        <f t="shared" si="182"/>
        <v>38</v>
      </c>
      <c r="Q183" s="40">
        <f t="shared" si="189"/>
        <v>0</v>
      </c>
      <c r="R183" s="40">
        <f t="shared" si="190"/>
        <v>-936.4824056264423</v>
      </c>
      <c r="S183" s="44">
        <f t="shared" si="191"/>
        <v>17793.165706902404</v>
      </c>
      <c r="T183" s="35">
        <f t="shared" si="192"/>
        <v>38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508.09352876266502</v>
      </c>
      <c r="V183" s="57">
        <v>0</v>
      </c>
      <c r="W183" s="57">
        <v>5</v>
      </c>
      <c r="X183" s="61">
        <f t="shared" si="183"/>
        <v>33</v>
      </c>
      <c r="Y183" s="40">
        <f t="shared" si="193"/>
        <v>0</v>
      </c>
      <c r="Z183" s="40">
        <f t="shared" si="194"/>
        <v>-2540.4676438133251</v>
      </c>
      <c r="AA183" s="44">
        <f t="shared" si="195"/>
        <v>16767.086449167946</v>
      </c>
      <c r="AB183" s="35">
        <f t="shared" si="196"/>
        <v>33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550.82259159102637</v>
      </c>
      <c r="AD183" s="57">
        <v>0</v>
      </c>
      <c r="AE183" s="57">
        <v>0</v>
      </c>
      <c r="AF183" s="61">
        <f t="shared" si="184"/>
        <v>33</v>
      </c>
      <c r="AG183" s="40">
        <f t="shared" si="197"/>
        <v>0</v>
      </c>
      <c r="AH183" s="40">
        <f t="shared" si="198"/>
        <v>0</v>
      </c>
      <c r="AI183" s="44">
        <f t="shared" si="199"/>
        <v>18177.14552250387</v>
      </c>
      <c r="AJ183" s="35">
        <f t="shared" si="185"/>
        <v>33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596.02815044608383</v>
      </c>
      <c r="AL183" s="57">
        <v>0</v>
      </c>
      <c r="AM183" s="57">
        <v>0</v>
      </c>
      <c r="AN183" s="61">
        <f t="shared" si="186"/>
        <v>33</v>
      </c>
      <c r="AO183" s="40">
        <f t="shared" si="200"/>
        <v>0</v>
      </c>
      <c r="AP183" s="40">
        <f t="shared" si="201"/>
        <v>0</v>
      </c>
      <c r="AQ183" s="44">
        <f t="shared" si="202"/>
        <v>19668.928964720766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26</v>
      </c>
      <c r="G184" s="35">
        <f>SUMIFS(WORKING!$AC$3:$AC$6802,WORKING!$A$3:$A$6802,Results!$D$3,WORKING!$B$3:$B$6802,Results!A184,WORKING!$C$3:$C$6802,Results!C184)/1000</f>
        <v>12138.426570000003</v>
      </c>
      <c r="H184" s="35">
        <f t="shared" si="187"/>
        <v>466.86256038461551</v>
      </c>
      <c r="I184" s="187">
        <v>26</v>
      </c>
      <c r="J184" s="212" t="s">
        <v>754</v>
      </c>
      <c r="K184" s="217">
        <f t="shared" si="188"/>
        <v>466.86256038461551</v>
      </c>
      <c r="L184" s="34">
        <f t="shared" si="181"/>
        <v>26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508.56422139792903</v>
      </c>
      <c r="N184" s="57">
        <v>0</v>
      </c>
      <c r="O184" s="57">
        <v>1</v>
      </c>
      <c r="P184" s="61">
        <f t="shared" si="182"/>
        <v>25</v>
      </c>
      <c r="Q184" s="40">
        <f t="shared" si="189"/>
        <v>0</v>
      </c>
      <c r="R184" s="40">
        <f t="shared" si="190"/>
        <v>-508.56422139792903</v>
      </c>
      <c r="S184" s="44">
        <f t="shared" si="191"/>
        <v>12714.105534948227</v>
      </c>
      <c r="T184" s="35">
        <f t="shared" si="192"/>
        <v>25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551.91725477225611</v>
      </c>
      <c r="V184" s="57">
        <v>0</v>
      </c>
      <c r="W184" s="57">
        <v>0</v>
      </c>
      <c r="X184" s="61">
        <f t="shared" si="183"/>
        <v>25</v>
      </c>
      <c r="Y184" s="40">
        <f t="shared" si="193"/>
        <v>0</v>
      </c>
      <c r="Z184" s="40">
        <f t="shared" si="194"/>
        <v>0</v>
      </c>
      <c r="AA184" s="44">
        <f t="shared" si="195"/>
        <v>13797.931369306403</v>
      </c>
      <c r="AB184" s="35">
        <f t="shared" si="196"/>
        <v>25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598.40630786714439</v>
      </c>
      <c r="AD184" s="57">
        <v>0</v>
      </c>
      <c r="AE184" s="57">
        <v>0</v>
      </c>
      <c r="AF184" s="61">
        <f t="shared" si="184"/>
        <v>25</v>
      </c>
      <c r="AG184" s="40">
        <f t="shared" si="197"/>
        <v>0</v>
      </c>
      <c r="AH184" s="40">
        <f t="shared" si="198"/>
        <v>0</v>
      </c>
      <c r="AI184" s="44">
        <f t="shared" si="199"/>
        <v>14960.157696678611</v>
      </c>
      <c r="AJ184" s="35">
        <f t="shared" si="185"/>
        <v>25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647.59764216159101</v>
      </c>
      <c r="AL184" s="57">
        <v>0</v>
      </c>
      <c r="AM184" s="57">
        <v>0</v>
      </c>
      <c r="AN184" s="61">
        <f t="shared" si="186"/>
        <v>25</v>
      </c>
      <c r="AO184" s="40">
        <f t="shared" si="200"/>
        <v>0</v>
      </c>
      <c r="AP184" s="40">
        <f t="shared" si="201"/>
        <v>0</v>
      </c>
      <c r="AQ184" s="44">
        <f t="shared" si="202"/>
        <v>16189.941054039775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67</v>
      </c>
      <c r="G185" s="35">
        <f>SUMIFS(WORKING!$AC$3:$AC$6802,WORKING!$A$3:$A$6802,Results!$D$3,WORKING!$B$3:$B$6802,Results!A185,WORKING!$C$3:$C$6802,Results!C185)/1000</f>
        <v>41745.56863999999</v>
      </c>
      <c r="H185" s="35">
        <f t="shared" si="187"/>
        <v>623.0681886567163</v>
      </c>
      <c r="I185" s="187">
        <v>45</v>
      </c>
      <c r="J185" s="212" t="s">
        <v>754</v>
      </c>
      <c r="K185" s="217">
        <f t="shared" si="188"/>
        <v>927.67930311111093</v>
      </c>
      <c r="L185" s="34">
        <f t="shared" si="181"/>
        <v>45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1011.6005528241545</v>
      </c>
      <c r="N185" s="57">
        <v>1</v>
      </c>
      <c r="O185" s="57">
        <v>2</v>
      </c>
      <c r="P185" s="61">
        <f t="shared" si="182"/>
        <v>44</v>
      </c>
      <c r="Q185" s="40">
        <f t="shared" si="189"/>
        <v>1011.6005528241545</v>
      </c>
      <c r="R185" s="40">
        <f t="shared" si="190"/>
        <v>-2023.2011056483091</v>
      </c>
      <c r="S185" s="44">
        <f t="shared" si="191"/>
        <v>44510.4243242628</v>
      </c>
      <c r="T185" s="35">
        <f t="shared" si="192"/>
        <v>44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1098.1637409659113</v>
      </c>
      <c r="V185" s="57">
        <v>0</v>
      </c>
      <c r="W185" s="57">
        <v>0</v>
      </c>
      <c r="X185" s="61">
        <f t="shared" si="183"/>
        <v>44</v>
      </c>
      <c r="Y185" s="40">
        <f t="shared" si="193"/>
        <v>0</v>
      </c>
      <c r="Z185" s="40">
        <f t="shared" si="194"/>
        <v>0</v>
      </c>
      <c r="AA185" s="44">
        <f t="shared" si="195"/>
        <v>48319.204602500096</v>
      </c>
      <c r="AB185" s="35">
        <f t="shared" si="196"/>
        <v>44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1191.0202330679731</v>
      </c>
      <c r="AD185" s="57">
        <v>0</v>
      </c>
      <c r="AE185" s="57">
        <v>0</v>
      </c>
      <c r="AF185" s="61">
        <f t="shared" si="184"/>
        <v>44</v>
      </c>
      <c r="AG185" s="40">
        <f t="shared" si="197"/>
        <v>0</v>
      </c>
      <c r="AH185" s="40">
        <f t="shared" si="198"/>
        <v>0</v>
      </c>
      <c r="AI185" s="44">
        <f t="shared" si="199"/>
        <v>52404.890254990816</v>
      </c>
      <c r="AJ185" s="35">
        <f t="shared" si="185"/>
        <v>44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1289.3120223489011</v>
      </c>
      <c r="AL185" s="57">
        <v>0</v>
      </c>
      <c r="AM185" s="57">
        <v>0</v>
      </c>
      <c r="AN185" s="61">
        <f t="shared" si="186"/>
        <v>44</v>
      </c>
      <c r="AO185" s="40">
        <f t="shared" si="200"/>
        <v>0</v>
      </c>
      <c r="AP185" s="40">
        <f t="shared" si="201"/>
        <v>0</v>
      </c>
      <c r="AQ185" s="44">
        <f t="shared" si="202"/>
        <v>56729.728983351648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5</v>
      </c>
      <c r="G186" s="35">
        <f>SUMIFS(WORKING!$AC$3:$AC$6802,WORKING!$A$3:$A$6802,Results!$D$3,WORKING!$B$3:$B$6802,Results!A186,WORKING!$C$3:$C$6802,Results!C186)/1000</f>
        <v>6778.0505799999992</v>
      </c>
      <c r="H186" s="35">
        <f t="shared" si="187"/>
        <v>1355.6101159999998</v>
      </c>
      <c r="I186" s="187">
        <v>26</v>
      </c>
      <c r="J186" s="212" t="s">
        <v>754</v>
      </c>
      <c r="K186" s="217">
        <f t="shared" si="188"/>
        <v>260.69425307692302</v>
      </c>
      <c r="L186" s="34">
        <f t="shared" si="181"/>
        <v>26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284.58700451843845</v>
      </c>
      <c r="N186" s="57">
        <v>0</v>
      </c>
      <c r="O186" s="57">
        <v>1</v>
      </c>
      <c r="P186" s="61">
        <f t="shared" si="182"/>
        <v>25</v>
      </c>
      <c r="Q186" s="40">
        <f t="shared" si="189"/>
        <v>0</v>
      </c>
      <c r="R186" s="40">
        <f t="shared" si="190"/>
        <v>-284.58700451843845</v>
      </c>
      <c r="S186" s="44">
        <f t="shared" si="191"/>
        <v>7114.6751129609611</v>
      </c>
      <c r="T186" s="35">
        <f t="shared" si="192"/>
        <v>25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308.93717989793163</v>
      </c>
      <c r="V186" s="57">
        <v>0</v>
      </c>
      <c r="W186" s="57">
        <v>0</v>
      </c>
      <c r="X186" s="61">
        <f t="shared" si="183"/>
        <v>25</v>
      </c>
      <c r="Y186" s="40">
        <f t="shared" si="193"/>
        <v>0</v>
      </c>
      <c r="Z186" s="40">
        <f t="shared" si="194"/>
        <v>0</v>
      </c>
      <c r="AA186" s="44">
        <f t="shared" si="195"/>
        <v>7723.4294974482909</v>
      </c>
      <c r="AB186" s="35">
        <f t="shared" si="196"/>
        <v>25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335.05740356810219</v>
      </c>
      <c r="AD186" s="57">
        <v>0</v>
      </c>
      <c r="AE186" s="57">
        <v>0</v>
      </c>
      <c r="AF186" s="61">
        <f t="shared" si="184"/>
        <v>25</v>
      </c>
      <c r="AG186" s="40">
        <f t="shared" si="197"/>
        <v>0</v>
      </c>
      <c r="AH186" s="40">
        <f t="shared" si="198"/>
        <v>0</v>
      </c>
      <c r="AI186" s="44">
        <f t="shared" si="199"/>
        <v>8376.4350892025541</v>
      </c>
      <c r="AJ186" s="35">
        <f t="shared" si="185"/>
        <v>25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362.70619541154849</v>
      </c>
      <c r="AL186" s="57">
        <v>0</v>
      </c>
      <c r="AM186" s="57">
        <v>0</v>
      </c>
      <c r="AN186" s="61">
        <f t="shared" si="186"/>
        <v>25</v>
      </c>
      <c r="AO186" s="40">
        <f t="shared" si="200"/>
        <v>0</v>
      </c>
      <c r="AP186" s="40">
        <f t="shared" si="201"/>
        <v>0</v>
      </c>
      <c r="AQ186" s="44">
        <f t="shared" si="202"/>
        <v>9067.6548852887117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38</v>
      </c>
      <c r="G187" s="35">
        <f>SUMIFS(WORKING!$AC$3:$AC$6802,WORKING!$A$3:$A$6802,Results!$D$3,WORKING!$B$3:$B$6802,Results!A187,WORKING!$C$3:$C$6802,Results!C187)/1000</f>
        <v>34327.043279999991</v>
      </c>
      <c r="H187" s="35">
        <f t="shared" si="187"/>
        <v>903.34324421052611</v>
      </c>
      <c r="I187" s="187">
        <v>51</v>
      </c>
      <c r="J187" s="212" t="s">
        <v>754</v>
      </c>
      <c r="K187" s="217">
        <f t="shared" si="188"/>
        <v>673.07927999999981</v>
      </c>
      <c r="L187" s="34">
        <f t="shared" si="181"/>
        <v>51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734.74287265055273</v>
      </c>
      <c r="N187" s="57">
        <v>0</v>
      </c>
      <c r="O187" s="57">
        <v>3</v>
      </c>
      <c r="P187" s="61">
        <f t="shared" si="182"/>
        <v>48</v>
      </c>
      <c r="Q187" s="40">
        <f t="shared" si="189"/>
        <v>0</v>
      </c>
      <c r="R187" s="40">
        <f t="shared" si="190"/>
        <v>-2204.2286179516582</v>
      </c>
      <c r="S187" s="44">
        <f t="shared" si="191"/>
        <v>35267.657887226531</v>
      </c>
      <c r="T187" s="35">
        <f t="shared" si="192"/>
        <v>48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797.58329384095123</v>
      </c>
      <c r="V187" s="57">
        <v>0</v>
      </c>
      <c r="W187" s="57">
        <v>3</v>
      </c>
      <c r="X187" s="61">
        <f t="shared" si="183"/>
        <v>45</v>
      </c>
      <c r="Y187" s="40">
        <f t="shared" si="193"/>
        <v>0</v>
      </c>
      <c r="Z187" s="40">
        <f t="shared" si="194"/>
        <v>-2392.7498815228537</v>
      </c>
      <c r="AA187" s="44">
        <f t="shared" si="195"/>
        <v>35891.248222842805</v>
      </c>
      <c r="AB187" s="35">
        <f t="shared" si="196"/>
        <v>45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864.9891162444319</v>
      </c>
      <c r="AD187" s="57">
        <v>0</v>
      </c>
      <c r="AE187" s="57">
        <v>0</v>
      </c>
      <c r="AF187" s="61">
        <f t="shared" si="184"/>
        <v>45</v>
      </c>
      <c r="AG187" s="40">
        <f t="shared" si="197"/>
        <v>0</v>
      </c>
      <c r="AH187" s="40">
        <f t="shared" si="198"/>
        <v>0</v>
      </c>
      <c r="AI187" s="44">
        <f t="shared" si="199"/>
        <v>38924.510230999433</v>
      </c>
      <c r="AJ187" s="35">
        <f t="shared" si="185"/>
        <v>45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936.33649617942217</v>
      </c>
      <c r="AL187" s="57">
        <v>0</v>
      </c>
      <c r="AM187" s="57">
        <v>0</v>
      </c>
      <c r="AN187" s="61">
        <f t="shared" si="186"/>
        <v>45</v>
      </c>
      <c r="AO187" s="40">
        <f t="shared" si="200"/>
        <v>0</v>
      </c>
      <c r="AP187" s="40">
        <f t="shared" si="201"/>
        <v>0</v>
      </c>
      <c r="AQ187" s="44">
        <f t="shared" si="202"/>
        <v>42135.142328073998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19</v>
      </c>
      <c r="G188" s="35">
        <f>SUMIFS(WORKING!$AC$3:$AC$6802,WORKING!$A$3:$A$6802,Results!$D$3,WORKING!$B$3:$B$6802,Results!A188,WORKING!$C$3:$C$6802,Results!C188)/1000</f>
        <v>22224.172420000003</v>
      </c>
      <c r="H188" s="35">
        <f t="shared" si="187"/>
        <v>1169.693285263158</v>
      </c>
      <c r="I188" s="187">
        <v>12</v>
      </c>
      <c r="J188" s="212" t="s">
        <v>754</v>
      </c>
      <c r="K188" s="217">
        <f t="shared" si="188"/>
        <v>1852.0143683333336</v>
      </c>
      <c r="L188" s="34">
        <f t="shared" si="181"/>
        <v>12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1941.0064169188458</v>
      </c>
      <c r="N188" s="57">
        <v>0</v>
      </c>
      <c r="O188" s="57">
        <v>1</v>
      </c>
      <c r="P188" s="61">
        <f t="shared" si="182"/>
        <v>11</v>
      </c>
      <c r="Q188" s="40">
        <f t="shared" si="189"/>
        <v>0</v>
      </c>
      <c r="R188" s="40">
        <f t="shared" si="190"/>
        <v>-1941.0064169188458</v>
      </c>
      <c r="S188" s="44">
        <f t="shared" si="191"/>
        <v>21351.070586107304</v>
      </c>
      <c r="T188" s="35">
        <f t="shared" si="192"/>
        <v>11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2087.4454462074764</v>
      </c>
      <c r="V188" s="57">
        <v>0</v>
      </c>
      <c r="W188" s="57">
        <v>0</v>
      </c>
      <c r="X188" s="61">
        <f t="shared" si="183"/>
        <v>11</v>
      </c>
      <c r="Y188" s="40">
        <f t="shared" si="193"/>
        <v>0</v>
      </c>
      <c r="Z188" s="40">
        <f t="shared" si="194"/>
        <v>0</v>
      </c>
      <c r="AA188" s="44">
        <f t="shared" si="195"/>
        <v>22961.899908282241</v>
      </c>
      <c r="AB188" s="35">
        <f t="shared" si="196"/>
        <v>11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2242.8146920851536</v>
      </c>
      <c r="AD188" s="57">
        <v>0</v>
      </c>
      <c r="AE188" s="57">
        <v>0</v>
      </c>
      <c r="AF188" s="61">
        <f t="shared" si="184"/>
        <v>11</v>
      </c>
      <c r="AG188" s="40">
        <f t="shared" si="197"/>
        <v>0</v>
      </c>
      <c r="AH188" s="40">
        <f t="shared" si="198"/>
        <v>0</v>
      </c>
      <c r="AI188" s="44">
        <f t="shared" si="199"/>
        <v>24670.961612936691</v>
      </c>
      <c r="AJ188" s="35">
        <f t="shared" si="185"/>
        <v>11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2405.1971336901106</v>
      </c>
      <c r="AL188" s="57">
        <v>0</v>
      </c>
      <c r="AM188" s="57">
        <v>0</v>
      </c>
      <c r="AN188" s="61">
        <f t="shared" si="186"/>
        <v>11</v>
      </c>
      <c r="AO188" s="40">
        <f t="shared" si="200"/>
        <v>0</v>
      </c>
      <c r="AP188" s="40">
        <f t="shared" si="201"/>
        <v>0</v>
      </c>
      <c r="AQ188" s="44">
        <f t="shared" si="202"/>
        <v>26457.168470591216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7</v>
      </c>
      <c r="G189" s="35">
        <f>SUMIFS(WORKING!$AC$3:$AC$6802,WORKING!$A$3:$A$6802,Results!$D$3,WORKING!$B$3:$B$6802,Results!A189,WORKING!$C$3:$C$6802,Results!C189)/1000</f>
        <v>16115.307729999997</v>
      </c>
      <c r="H189" s="35">
        <f t="shared" si="187"/>
        <v>2302.1868185714279</v>
      </c>
      <c r="I189" s="187">
        <v>3</v>
      </c>
      <c r="J189" s="212" t="s">
        <v>754</v>
      </c>
      <c r="K189" s="217">
        <f t="shared" si="188"/>
        <v>5371.7692433333323</v>
      </c>
      <c r="L189" s="34">
        <f t="shared" si="181"/>
        <v>3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5630.3738180130322</v>
      </c>
      <c r="N189" s="57">
        <v>0</v>
      </c>
      <c r="O189" s="57">
        <v>0</v>
      </c>
      <c r="P189" s="61">
        <f t="shared" si="182"/>
        <v>3</v>
      </c>
      <c r="Q189" s="40">
        <f t="shared" si="189"/>
        <v>0</v>
      </c>
      <c r="R189" s="40">
        <f t="shared" si="190"/>
        <v>0</v>
      </c>
      <c r="S189" s="44">
        <f t="shared" si="191"/>
        <v>16891.121454039097</v>
      </c>
      <c r="T189" s="35">
        <f t="shared" si="192"/>
        <v>3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6055.676342622276</v>
      </c>
      <c r="V189" s="57">
        <v>0</v>
      </c>
      <c r="W189" s="57">
        <v>0</v>
      </c>
      <c r="X189" s="61">
        <f t="shared" si="183"/>
        <v>3</v>
      </c>
      <c r="Y189" s="40">
        <f t="shared" si="193"/>
        <v>0</v>
      </c>
      <c r="Z189" s="40">
        <f t="shared" si="194"/>
        <v>0</v>
      </c>
      <c r="AA189" s="44">
        <f t="shared" si="195"/>
        <v>18167.029027866829</v>
      </c>
      <c r="AB189" s="35">
        <f t="shared" si="196"/>
        <v>3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6506.9605791757685</v>
      </c>
      <c r="AD189" s="57">
        <v>0</v>
      </c>
      <c r="AE189" s="57">
        <v>0</v>
      </c>
      <c r="AF189" s="61">
        <f t="shared" si="184"/>
        <v>3</v>
      </c>
      <c r="AG189" s="40">
        <f t="shared" si="197"/>
        <v>0</v>
      </c>
      <c r="AH189" s="40">
        <f t="shared" si="198"/>
        <v>0</v>
      </c>
      <c r="AI189" s="44">
        <f t="shared" si="199"/>
        <v>19520.881737527307</v>
      </c>
      <c r="AJ189" s="35">
        <f t="shared" si="185"/>
        <v>3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6978.6709769719973</v>
      </c>
      <c r="AL189" s="57">
        <v>0</v>
      </c>
      <c r="AM189" s="57">
        <v>0</v>
      </c>
      <c r="AN189" s="61">
        <f t="shared" si="186"/>
        <v>3</v>
      </c>
      <c r="AO189" s="40">
        <f t="shared" si="200"/>
        <v>0</v>
      </c>
      <c r="AP189" s="40">
        <f t="shared" si="201"/>
        <v>0</v>
      </c>
      <c r="AQ189" s="44">
        <f t="shared" si="202"/>
        <v>20936.012930915993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3</v>
      </c>
      <c r="G190" s="35">
        <f>SUMIFS(WORKING!$AC$3:$AC$6802,WORKING!$A$3:$A$6802,Results!$D$3,WORKING!$B$3:$B$6802,Results!A190,WORKING!$C$3:$C$6802,Results!C190)/1000</f>
        <v>5356.7831799999994</v>
      </c>
      <c r="H190" s="35">
        <f t="shared" si="187"/>
        <v>1785.5943933333331</v>
      </c>
      <c r="I190" s="187">
        <v>2</v>
      </c>
      <c r="J190" s="212" t="s">
        <v>754</v>
      </c>
      <c r="K190" s="217">
        <f t="shared" si="188"/>
        <v>2678.3915899999997</v>
      </c>
      <c r="L190" s="34">
        <f t="shared" si="181"/>
        <v>2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2807.9312371788496</v>
      </c>
      <c r="N190" s="57">
        <v>0</v>
      </c>
      <c r="O190" s="57">
        <v>0</v>
      </c>
      <c r="P190" s="61">
        <f t="shared" si="182"/>
        <v>2</v>
      </c>
      <c r="Q190" s="40">
        <f t="shared" si="189"/>
        <v>0</v>
      </c>
      <c r="R190" s="40">
        <f t="shared" si="190"/>
        <v>0</v>
      </c>
      <c r="S190" s="44">
        <f t="shared" si="191"/>
        <v>5615.8624743576993</v>
      </c>
      <c r="T190" s="35">
        <f t="shared" si="192"/>
        <v>2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3020.6778262229445</v>
      </c>
      <c r="V190" s="57">
        <v>0</v>
      </c>
      <c r="W190" s="57">
        <v>1</v>
      </c>
      <c r="X190" s="61">
        <f t="shared" si="183"/>
        <v>1</v>
      </c>
      <c r="Y190" s="40">
        <f t="shared" si="193"/>
        <v>0</v>
      </c>
      <c r="Z190" s="40">
        <f t="shared" si="194"/>
        <v>-3020.6778262229445</v>
      </c>
      <c r="AA190" s="44">
        <f t="shared" si="195"/>
        <v>3020.6778262229445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3246.4778323013288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3246.4778323013288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3482.5671820564025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3482.5671820564025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335</v>
      </c>
      <c r="G196" s="41">
        <f>SUM(G176:G195)</f>
        <v>203108.10098999998</v>
      </c>
      <c r="H196" s="41">
        <f>IFERROR(G196/F196,0)</f>
        <v>606.29283877611931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335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203108.10098999998</v>
      </c>
      <c r="K196" s="41">
        <f>IFERROR(J196/I196,"")</f>
        <v>606.29283877611931</v>
      </c>
      <c r="L196" s="41">
        <f>SUM(L176:L195)</f>
        <v>335</v>
      </c>
      <c r="M196" s="41">
        <f>IFERROR(S196/P196,0)</f>
        <v>636.79217094974922</v>
      </c>
      <c r="N196" s="41">
        <f t="shared" ref="N196:T196" si="203">SUM(N176:N195)</f>
        <v>3</v>
      </c>
      <c r="O196" s="41">
        <f t="shared" si="203"/>
        <v>17</v>
      </c>
      <c r="P196" s="41">
        <f t="shared" si="203"/>
        <v>321</v>
      </c>
      <c r="Q196" s="41">
        <f t="shared" si="203"/>
        <v>1669.8421458490075</v>
      </c>
      <c r="R196" s="41">
        <f t="shared" si="203"/>
        <v>-10281.228445428738</v>
      </c>
      <c r="S196" s="45">
        <f t="shared" si="203"/>
        <v>204410.28687486949</v>
      </c>
      <c r="T196" s="41">
        <f t="shared" si="203"/>
        <v>321</v>
      </c>
      <c r="U196" s="41">
        <f>IFERROR(AA196/X196,0)</f>
        <v>700.40539911344024</v>
      </c>
      <c r="V196" s="41">
        <f t="shared" ref="V196:AB196" si="204">SUM(V176:V195)</f>
        <v>0</v>
      </c>
      <c r="W196" s="41">
        <f t="shared" si="204"/>
        <v>23</v>
      </c>
      <c r="X196" s="41">
        <f t="shared" si="204"/>
        <v>298</v>
      </c>
      <c r="Y196" s="41">
        <f t="shared" si="204"/>
        <v>0</v>
      </c>
      <c r="Z196" s="41">
        <f t="shared" si="204"/>
        <v>-12703.013283657689</v>
      </c>
      <c r="AA196" s="45">
        <f t="shared" si="204"/>
        <v>208720.80893580519</v>
      </c>
      <c r="AB196" s="41">
        <f t="shared" si="204"/>
        <v>298</v>
      </c>
      <c r="AC196" s="41">
        <f>IFERROR(AI196/AF196,0)</f>
        <v>758.01403761877054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298</v>
      </c>
      <c r="AG196" s="41">
        <f t="shared" si="205"/>
        <v>0</v>
      </c>
      <c r="AH196" s="41">
        <f t="shared" si="205"/>
        <v>0</v>
      </c>
      <c r="AI196" s="45">
        <f t="shared" si="205"/>
        <v>225888.18321039362</v>
      </c>
      <c r="AJ196" s="41">
        <f t="shared" si="205"/>
        <v>298</v>
      </c>
      <c r="AK196" s="41">
        <f>IFERROR(AQ196/AN196,0)</f>
        <v>818.83473238347108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298</v>
      </c>
      <c r="AO196" s="41">
        <f t="shared" si="206"/>
        <v>0</v>
      </c>
      <c r="AP196" s="41">
        <f t="shared" si="206"/>
        <v>0</v>
      </c>
      <c r="AQ196" s="45">
        <f t="shared" si="206"/>
        <v>244012.75025027437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204801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140472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124740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134220.24000000002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390.71312513051089</v>
      </c>
      <c r="T198" s="39"/>
      <c r="U198" s="39"/>
      <c r="V198" s="53"/>
      <c r="W198" s="53"/>
      <c r="X198" s="110"/>
      <c r="Y198" s="39"/>
      <c r="Z198" s="39"/>
      <c r="AA198" s="54">
        <f>AA197-AA196</f>
        <v>-68248.808935805195</v>
      </c>
      <c r="AB198" s="39"/>
      <c r="AC198" s="53"/>
      <c r="AD198" s="53"/>
      <c r="AE198" s="110"/>
      <c r="AF198" s="39"/>
      <c r="AG198" s="39"/>
      <c r="AH198" s="39"/>
      <c r="AI198" s="54">
        <f>AI197-AI196</f>
        <v>-101148.18321039362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-109792.51025027435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p3I3CZyUOvzBR/Lyv+IAhALeuOhLbhywxeE4E+mWgSJO4YPb3gsSHr4NKxv6fB7ae366+h9h4MNH7413PpS31A==" saltValue="WZUtaxClhtBqV7qN6VfpD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Water and Sanitation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36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42671.514830902779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NAT_HRBP__42671.5148309028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HRBP-Vote36.xlsx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df7ca258-5e24-45de-bd31-dbc76bc6765a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